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51196F13-6AD0-C1B8-E2B4-A1F9AE17003E}"/>
  <workbookPr showInkAnnotation="0" codeName="ThisWorkbook" autoCompressPictures="0"/>
  <mc:AlternateContent xmlns:mc="http://schemas.openxmlformats.org/markup-compatibility/2006">
    <mc:Choice Requires="x15">
      <x15ac:absPath xmlns:x15ac="http://schemas.microsoft.com/office/spreadsheetml/2010/11/ac" url="I:\Staff Folders\Nelson\cayuse budgets\"/>
    </mc:Choice>
  </mc:AlternateContent>
  <bookViews>
    <workbookView xWindow="0" yWindow="0" windowWidth="15750" windowHeight="21300" tabRatio="888" firstSheet="1" activeTab="2"/>
  </bookViews>
  <sheets>
    <sheet name="START" sheetId="6" state="veryHidden" r:id="rId1"/>
    <sheet name="Instructions" sheetId="18" r:id="rId2"/>
    <sheet name="Budget" sheetId="1" r:id="rId3"/>
    <sheet name="Salary &amp; Fringe" sheetId="3" r:id="rId4"/>
    <sheet name="Cayuse Summary Budget" sheetId="4" r:id="rId5"/>
    <sheet name="NSF Yr 1" sheetId="7" state="veryHidden" r:id="rId6"/>
    <sheet name="NSF Yr 2" sheetId="8" state="veryHidden" r:id="rId7"/>
    <sheet name="NSF Yr 3" sheetId="9" state="veryHidden" r:id="rId8"/>
    <sheet name="NSF Yr 4" sheetId="10" state="veryHidden" r:id="rId9"/>
    <sheet name="NSF Yr 5" sheetId="11" state="veryHidden" r:id="rId10"/>
    <sheet name="NSF Yr 6" sheetId="12" state="veryHidden" r:id="rId11"/>
    <sheet name="NSF Yr 7" sheetId="13" state="veryHidden" r:id="rId12"/>
    <sheet name="NSF Yr 8" sheetId="14" state="veryHidden" r:id="rId13"/>
    <sheet name="NSF Yr 9" sheetId="15" state="veryHidden" r:id="rId14"/>
    <sheet name="NSF Yr 10" sheetId="16" state="veryHidden" r:id="rId15"/>
    <sheet name="NSF Cumulative" sheetId="22" state="veryHidden" r:id="rId16"/>
    <sheet name="Grants.gov Detailed Yr 1" sheetId="23" state="veryHidden" r:id="rId17"/>
    <sheet name="Grants.gov Detailed Yr 2" sheetId="24" state="veryHidden" r:id="rId18"/>
    <sheet name="Grants.gov Detailed Yr 3" sheetId="25" state="veryHidden" r:id="rId19"/>
    <sheet name="Grants.gov Detailed Yr 4" sheetId="26" state="veryHidden" r:id="rId20"/>
    <sheet name="Grants.gov Detailed Yr 5" sheetId="27" state="veryHidden" r:id="rId21"/>
    <sheet name="Grants.gov Detailed Yr 6" sheetId="28" state="veryHidden" r:id="rId22"/>
    <sheet name="Grants.gov Detailed Yr 7" sheetId="29" state="veryHidden" r:id="rId23"/>
    <sheet name="Grants.gov Detailed Yr 8" sheetId="30" state="veryHidden" r:id="rId24"/>
    <sheet name="Grants.gov Detailed Yr 9" sheetId="31" state="veryHidden" r:id="rId25"/>
    <sheet name="Grants.gov Detailed Yr 10" sheetId="32" state="veryHidden" r:id="rId26"/>
    <sheet name="Grants.gov Detailed Cumulative" sheetId="33" state="veryHidden" r:id="rId27"/>
    <sheet name="Validation Data" sheetId="2" state="hidden" r:id="rId28"/>
    <sheet name="Salary Tables" sheetId="17" state="hidden" r:id="rId29"/>
    <sheet name="Fringe Calculations" sheetId="20" state="hidden" r:id="rId30"/>
    <sheet name="Sheet1" sheetId="34" state="veryHidden" r:id="rId31"/>
    <sheet name="Subs Calculations" sheetId="21" state="veryHidden" r:id="rId32"/>
  </sheets>
  <definedNames>
    <definedName name="ApptType">Budget!$D$21</definedName>
    <definedName name="BasisType">'Salary &amp; Fringe'!$F$3</definedName>
    <definedName name="EndBasisType">'Salary &amp; Fringe'!$F$8</definedName>
    <definedName name="EndSubCalc1">'Subs Calculations'!$B$8</definedName>
    <definedName name="EndSubCalc10">'Subs Calculations'!$K$8</definedName>
    <definedName name="EndSubCalc2">'Subs Calculations'!$C$8</definedName>
    <definedName name="EndSubCalc3">'Subs Calculations'!$D$8</definedName>
    <definedName name="EndSubCalc4">'Subs Calculations'!$E$8</definedName>
    <definedName name="EndSubCalc5">'Subs Calculations'!$F$8</definedName>
    <definedName name="EndSubCalc6">'Subs Calculations'!$G$8</definedName>
    <definedName name="EndSubCalc7">'Subs Calculations'!$H$8</definedName>
    <definedName name="EndSubCalc8">'Subs Calculations'!$I$8</definedName>
    <definedName name="EndSubCalc9">'Subs Calculations'!$J$8</definedName>
    <definedName name="EndTuitionmonth">'Salary &amp; Fringe'!$J$8</definedName>
    <definedName name="Equipment1">Budget!$F$46</definedName>
    <definedName name="Equipment10">Budget!$X$46</definedName>
    <definedName name="Equipment2">Budget!$H$46</definedName>
    <definedName name="Equipment3">Budget!$J$46</definedName>
    <definedName name="Equipment4">Budget!$L$46</definedName>
    <definedName name="Equipment5">Budget!$N$46</definedName>
    <definedName name="Equipment6">Budget!$P$46</definedName>
    <definedName name="Equipment7">Budget!$R$46</definedName>
    <definedName name="Equipment8">Budget!$T$46</definedName>
    <definedName name="Equipment9">Budget!$V$46</definedName>
    <definedName name="Fringe1">Budget!$F$27</definedName>
    <definedName name="Fringe10">Budget!$X$27</definedName>
    <definedName name="Fringe2">Budget!$H$27</definedName>
    <definedName name="Fringe3">Budget!$J$27</definedName>
    <definedName name="Fringe4">Budget!$L$27</definedName>
    <definedName name="Fringe5">Budget!$N$27</definedName>
    <definedName name="Fringe6">Budget!$P$27</definedName>
    <definedName name="Fringe7">Budget!$R$27</definedName>
    <definedName name="Fringe8">Budget!$T$27</definedName>
    <definedName name="Fringe9">Budget!$V$27</definedName>
    <definedName name="ICRate">Budget!$E$82</definedName>
    <definedName name="Multi1">Budget!$F$68</definedName>
    <definedName name="Multi10">Budget!$X$68</definedName>
    <definedName name="Multi2">Budget!$H$68</definedName>
    <definedName name="Multi3">Budget!$J$68</definedName>
    <definedName name="Multi4">Budget!$L$68</definedName>
    <definedName name="Multi5">Budget!$N$68</definedName>
    <definedName name="Multi6">Budget!$P$68</definedName>
    <definedName name="Multi7">Budget!$R$68</definedName>
    <definedName name="Multi8">Budget!$T$68</definedName>
    <definedName name="Multi9">Budget!$V$68</definedName>
    <definedName name="NonStd1">Budget!$F$82</definedName>
    <definedName name="NonStd10">Budget!$X$82</definedName>
    <definedName name="NonStd2">Budget!$H$82</definedName>
    <definedName name="NonStd3">Budget!$J$82</definedName>
    <definedName name="NonStd4">Budget!$L$82</definedName>
    <definedName name="NonStd5">Budget!$N$82</definedName>
    <definedName name="NonStd6">Budget!$P$82</definedName>
    <definedName name="NonStd7">Budget!$R$82</definedName>
    <definedName name="NonStd8">Budget!$T$82</definedName>
    <definedName name="NonStd9">Budget!$V$82</definedName>
    <definedName name="PermanentEquipment">Budget!$A$45</definedName>
    <definedName name="_xlnm.Print_Area" localSheetId="2">Budget!$A$2:$AA$122</definedName>
    <definedName name="_xlnm.Print_Area" localSheetId="16">'Grants.gov Detailed Yr 1'!$A$1:$K$76</definedName>
    <definedName name="_xlnm.Print_Area" localSheetId="15">'NSF Cumulative'!$A$1:$G$50</definedName>
    <definedName name="Salary1">Budget!$F$21</definedName>
    <definedName name="SubCalc1">'Subs Calculations'!$B$1</definedName>
    <definedName name="SubCalc10">'Subs Calculations'!$K$1</definedName>
    <definedName name="SubCalc2">'Subs Calculations'!$C$1</definedName>
    <definedName name="SubCalc3">'Subs Calculations'!$D$1</definedName>
    <definedName name="SubCalc4">'Subs Calculations'!$E$1</definedName>
    <definedName name="SubCalc5">'Subs Calculations'!$F$1</definedName>
    <definedName name="SubCalc6">'Subs Calculations'!$G$1</definedName>
    <definedName name="SubCalc7">'Subs Calculations'!$H$1</definedName>
    <definedName name="SubCalc8">'Subs Calculations'!$I$1</definedName>
    <definedName name="SubCalc9">'Subs Calculations'!$J$1</definedName>
    <definedName name="Subs1">Budget!$F$59</definedName>
    <definedName name="Subs10">Budget!$X$59</definedName>
    <definedName name="Subs2">Budget!$H$59</definedName>
    <definedName name="Subs3">Budget!$J$59</definedName>
    <definedName name="Subs4">Budget!$L$59</definedName>
    <definedName name="Subs5">Budget!$N$59</definedName>
    <definedName name="Subs6">Budget!$P$59</definedName>
    <definedName name="Subs7">Budget!$R$59</definedName>
    <definedName name="Subs8">Budget!$T$59</definedName>
    <definedName name="Subs9">Budget!$V$59</definedName>
    <definedName name="TotalDC1">Budget!$F$99</definedName>
    <definedName name="TotalDC10">Budget!$X$99</definedName>
    <definedName name="TotalDC2">Budget!$H$99</definedName>
    <definedName name="TotalDC3">Budget!$J$99</definedName>
    <definedName name="TotalDC4">Budget!$L$99</definedName>
    <definedName name="TotalDC5">Budget!$N$99</definedName>
    <definedName name="TotalDC6">Budget!$P$99</definedName>
    <definedName name="TotalDC7">Budget!$R$99</definedName>
    <definedName name="TotalDC8">Budget!$T$99</definedName>
    <definedName name="TotalDC9">Budget!$V$99</definedName>
    <definedName name="TotalDCBase1">Budget!$F$97</definedName>
    <definedName name="TotalDCBase10">Budget!$X$97</definedName>
    <definedName name="TotalDCBase2">Budget!$H$97</definedName>
    <definedName name="TotalDCBase3">Budget!$J$97</definedName>
    <definedName name="TotalDCBase4">Budget!$L$97</definedName>
    <definedName name="TotalDCBase5">Budget!$N$97</definedName>
    <definedName name="TotalDCBase6">Budget!$P$97</definedName>
    <definedName name="TotalDCBase7">Budget!$R$97</definedName>
    <definedName name="TotalDCBase8">Budget!$T$97</definedName>
    <definedName name="TotalDCBase9">Budget!$V$97</definedName>
    <definedName name="TotalDomTravel1">Budget!$F$39</definedName>
    <definedName name="TotalDomTravel10">Budget!$X$39</definedName>
    <definedName name="TotalDomTravel2">Budget!$H$39</definedName>
    <definedName name="TotalDomTravel3">Budget!$J$39</definedName>
    <definedName name="TotalDomTravel4">Budget!$L$39</definedName>
    <definedName name="TotalDomTravel5">Budget!$N$39</definedName>
    <definedName name="TotalDomTravel6">Budget!$P$39</definedName>
    <definedName name="TotalDomTravel7">Budget!$R$39</definedName>
    <definedName name="TotalDomTravel8">Budget!$T$39</definedName>
    <definedName name="TotalDomTravel9">Budget!$V$39</definedName>
    <definedName name="TotalEquipment1">Budget!$F$52</definedName>
    <definedName name="TotalEquipment10">Budget!$X$52</definedName>
    <definedName name="TotalEquipment2">Budget!$H$52</definedName>
    <definedName name="TotalEquipment3">Budget!$J$52</definedName>
    <definedName name="TotalEquipment4">Budget!$L$52</definedName>
    <definedName name="TotalEquipment5">Budget!$N$52</definedName>
    <definedName name="TotalEquipment6">Budget!$P$52</definedName>
    <definedName name="TotalEquipment7">Budget!$R$52</definedName>
    <definedName name="TotalEquipment8">Budget!$T$52</definedName>
    <definedName name="TotalEquipment9">Budget!$V$52</definedName>
    <definedName name="TotalForTravel1">Budget!$F$44</definedName>
    <definedName name="TotalForTravel10">Budget!$X$44</definedName>
    <definedName name="TotalForTravel2">Budget!$H$44</definedName>
    <definedName name="TotalForTravel3">Budget!$J$44</definedName>
    <definedName name="TotalForTravel4">Budget!$L$44</definedName>
    <definedName name="TotalForTravel5">Budget!$N$44</definedName>
    <definedName name="TotalForTravel6">Budget!$P$44</definedName>
    <definedName name="TotalForTravel7">Budget!$R$44</definedName>
    <definedName name="TotalForTravel8">Budget!$T$44</definedName>
    <definedName name="TotalForTravel9">Budget!$V$44</definedName>
    <definedName name="TotalFringe1">Budget!$F$33</definedName>
    <definedName name="TotalFringe10">Budget!$X$33</definedName>
    <definedName name="TotalFringe2">Budget!$H$33</definedName>
    <definedName name="TotalFringe3">Budget!$J$33</definedName>
    <definedName name="TotalFringe4">Budget!$L$33</definedName>
    <definedName name="TotalFringe5">Budget!$N$33</definedName>
    <definedName name="TotalFringe6">Budget!$P$33</definedName>
    <definedName name="TotalFringe7">Budget!$R$33</definedName>
    <definedName name="TotalFringe8">Budget!$T$33</definedName>
    <definedName name="TotalFringe9">Budget!$V$33</definedName>
    <definedName name="TotalGSR1">Budget!$F$92</definedName>
    <definedName name="TotalGSR10">Budget!$X$92</definedName>
    <definedName name="TotalGSR2">Budget!$H$92</definedName>
    <definedName name="TotalGSR3">Budget!$J$92</definedName>
    <definedName name="TotalGSR4">Budget!$L$92</definedName>
    <definedName name="TotalGSR5">Budget!$N$92</definedName>
    <definedName name="TotalGSR6">Budget!$P$92</definedName>
    <definedName name="TotalGSR7">Budget!$R$92</definedName>
    <definedName name="TotalGSR8">Budget!$T$92</definedName>
    <definedName name="TotalGSR9">Budget!$V$92</definedName>
    <definedName name="TotalMulti1">Budget!$F$75</definedName>
    <definedName name="TotalMulti10">Budget!$X$75</definedName>
    <definedName name="TotalMulti2">Budget!$H$75</definedName>
    <definedName name="TotalMulti3">Budget!$J$75</definedName>
    <definedName name="TotalMulti4">Budget!$L$75</definedName>
    <definedName name="TotalMulti5">Budget!$N$75</definedName>
    <definedName name="TotalMulti6">Budget!$P$75</definedName>
    <definedName name="TotalMulti7">Budget!$R$75</definedName>
    <definedName name="TotalMulti8">Budget!$T$75</definedName>
    <definedName name="TotalMulti9">Budget!$V$75</definedName>
    <definedName name="TotalNonStd">Budget!$A$85</definedName>
    <definedName name="TotalNonStd1">Budget!$F$85</definedName>
    <definedName name="TotalNonStd10">Budget!$X$85</definedName>
    <definedName name="TotalNonStd2">Budget!$H$85</definedName>
    <definedName name="TotalNonStd3">Budget!$J$85</definedName>
    <definedName name="TotalNonStd4">Budget!$L$85</definedName>
    <definedName name="TotalNonStd5">Budget!$N$85</definedName>
    <definedName name="TotalNonStd6">Budget!$P$85</definedName>
    <definedName name="TotalNonStd7">Budget!$R$85</definedName>
    <definedName name="TotalNonStd8">Budget!$T$85</definedName>
    <definedName name="TotalNonStd9">Budget!$V$85</definedName>
    <definedName name="TotalODC1">Budget!$F$80</definedName>
    <definedName name="TotalODC10">Budget!$X$80</definedName>
    <definedName name="TotalODC2">Budget!$H$80</definedName>
    <definedName name="TotalODC3">Budget!$J$80</definedName>
    <definedName name="TotalODC4">Budget!$L$80</definedName>
    <definedName name="TotalODC5">Budget!$N$80</definedName>
    <definedName name="TotalODC6">Budget!$P$80</definedName>
    <definedName name="TotalODC7">Budget!$R$80</definedName>
    <definedName name="TotalODC8">Budget!$T$80</definedName>
    <definedName name="TotalODC9">Budget!$V$80</definedName>
    <definedName name="TotalODCGSR1">Budget!$F$95</definedName>
    <definedName name="TotalODCGSR10">Budget!$X$95</definedName>
    <definedName name="TotalODCGSR2">Budget!$H$95</definedName>
    <definedName name="TotalODCGSR3">Budget!$J$95</definedName>
    <definedName name="TotalODCGSR4">Budget!$L$95</definedName>
    <definedName name="TotalODCGSR5">Budget!$N$95</definedName>
    <definedName name="TotalODCGSR6">Budget!$P$95</definedName>
    <definedName name="TotalODCGSR7">Budget!$R$95</definedName>
    <definedName name="TotalODCGSR8">Budget!$T$95</definedName>
    <definedName name="TotalODCGSR9">Budget!$V$95</definedName>
    <definedName name="TotalParSupport1">Budget!$F$57</definedName>
    <definedName name="TotalParSupport10">Budget!$X$57</definedName>
    <definedName name="TotalParSupport2">Budget!$H$57</definedName>
    <definedName name="TotalParSupport3">Budget!$J$57</definedName>
    <definedName name="TotalParSupport4">Budget!$L$57</definedName>
    <definedName name="TotalParSupport5">Budget!$N$57</definedName>
    <definedName name="TotalParSupport6">Budget!$P$57</definedName>
    <definedName name="TotalParSupport7">Budget!$R$57</definedName>
    <definedName name="TotalParSupport8">Budget!$T$57</definedName>
    <definedName name="TotalParSupport9">Budget!$V$57</definedName>
    <definedName name="TotalSalary">Budget!$A$26</definedName>
    <definedName name="TotalSalary1">Budget!$F$26</definedName>
    <definedName name="TotalSalary10">Budget!$X$26</definedName>
    <definedName name="TotalSalary2">Budget!$H$26</definedName>
    <definedName name="TotalSalary3">Budget!$J$26</definedName>
    <definedName name="TotalSalary4">Budget!$L$26</definedName>
    <definedName name="TotalSalary5">Budget!$N$26</definedName>
    <definedName name="TotalSalary6">Budget!$P$26</definedName>
    <definedName name="TotalSalary7">Budget!$R$26</definedName>
    <definedName name="TotalSalary8">Budget!$T$26</definedName>
    <definedName name="TotalSalary9">Budget!$V$26</definedName>
    <definedName name="TotalSubs1">Budget!$F$66</definedName>
    <definedName name="TotalSubs10">Budget!$X$66</definedName>
    <definedName name="TotalSubs2">Budget!$H$66</definedName>
    <definedName name="TotalSubs3">Budget!$J$66</definedName>
    <definedName name="TotalSubs4">Budget!$L$66</definedName>
    <definedName name="TotalSubs5">Budget!$N$66</definedName>
    <definedName name="TotalSubs6">Budget!$P$66</definedName>
    <definedName name="TotalSubs7">Budget!$R$66</definedName>
    <definedName name="TotalSubs8">Budget!$T$66</definedName>
    <definedName name="TotalSubs9">Budget!$V$66</definedName>
    <definedName name="TotalTuition1">Budget!$F$88</definedName>
    <definedName name="Tuitionmonth">'Salary &amp; Fringe'!$J$3</definedName>
  </definedNames>
  <calcPr calcId="162913"/>
  <extLst>
    <ext xmlns:x14="http://schemas.microsoft.com/office/spreadsheetml/2009/9/main" uri="{79F54976-1DA5-4618-B147-4CDE4B953A38}">
      <x14:workbookPr defaultImageDpi="330"/>
    </ext>
    <ext xmlns:mx="http://schemas.microsoft.com/office/mac/excel/2008/main" uri="{7523E5D3-25F3-A5E0-1632-64F254C22452}">
      <mx:ArchID Flags="2"/>
    </ext>
  </extLst>
</workbook>
</file>

<file path=xl/calcChain.xml><?xml version="1.0" encoding="utf-8"?>
<calcChain xmlns="http://schemas.openxmlformats.org/spreadsheetml/2006/main">
  <c r="B10" i="1" l="1"/>
  <c r="F105" i="1" s="1"/>
  <c r="C4" i="3"/>
  <c r="A2" i="20" s="1"/>
  <c r="C6" i="3"/>
  <c r="K6" i="3" s="1"/>
  <c r="D4" i="20" s="1"/>
  <c r="F2" i="20"/>
  <c r="F4" i="20"/>
  <c r="D4" i="3"/>
  <c r="D29" i="1"/>
  <c r="B30" i="1"/>
  <c r="D31" i="1"/>
  <c r="B32" i="1" s="1"/>
  <c r="X39" i="1"/>
  <c r="X44" i="1"/>
  <c r="G30" i="16" s="1"/>
  <c r="F62" i="1"/>
  <c r="H62" i="1"/>
  <c r="J62" i="1"/>
  <c r="L62" i="1"/>
  <c r="N62" i="1"/>
  <c r="P62" i="1"/>
  <c r="R62" i="1"/>
  <c r="T62" i="1"/>
  <c r="V62" i="1"/>
  <c r="V66" i="1" s="1"/>
  <c r="X62" i="1"/>
  <c r="F65" i="1"/>
  <c r="B5" i="21" s="1"/>
  <c r="H65" i="1"/>
  <c r="H66" i="1"/>
  <c r="J65" i="1"/>
  <c r="J66" i="1"/>
  <c r="L65" i="1"/>
  <c r="N65" i="1"/>
  <c r="N66" i="1"/>
  <c r="P65" i="1"/>
  <c r="P66" i="1" s="1"/>
  <c r="R65" i="1"/>
  <c r="T65" i="1"/>
  <c r="V65" i="1"/>
  <c r="X65" i="1"/>
  <c r="X66" i="1" s="1"/>
  <c r="X80" i="1"/>
  <c r="X107" i="1"/>
  <c r="V39" i="1"/>
  <c r="G29" i="15"/>
  <c r="V44" i="1"/>
  <c r="V80" i="1"/>
  <c r="V107" i="1"/>
  <c r="T39" i="1"/>
  <c r="T44" i="1"/>
  <c r="T80" i="1"/>
  <c r="T107" i="1"/>
  <c r="R39" i="1"/>
  <c r="K36" i="29" s="1"/>
  <c r="K38" i="29" s="1"/>
  <c r="R44" i="1"/>
  <c r="G30" i="13" s="1"/>
  <c r="R80" i="1"/>
  <c r="R107" i="1"/>
  <c r="P39" i="1"/>
  <c r="P44" i="1"/>
  <c r="P80" i="1"/>
  <c r="P107" i="1"/>
  <c r="N39" i="1"/>
  <c r="N44" i="1"/>
  <c r="G30" i="11" s="1"/>
  <c r="N80" i="1"/>
  <c r="N107" i="1"/>
  <c r="L39" i="1"/>
  <c r="L44" i="1"/>
  <c r="L80" i="1"/>
  <c r="L107" i="1"/>
  <c r="J39" i="1"/>
  <c r="J44" i="1"/>
  <c r="G30" i="9" s="1"/>
  <c r="J80" i="1"/>
  <c r="J107" i="1"/>
  <c r="H39" i="1"/>
  <c r="Z39" i="1" s="1"/>
  <c r="H44" i="1"/>
  <c r="H80" i="1"/>
  <c r="H107" i="1"/>
  <c r="F39" i="1"/>
  <c r="F44" i="1"/>
  <c r="F80" i="1"/>
  <c r="F107" i="1"/>
  <c r="Z108" i="1"/>
  <c r="D6" i="3"/>
  <c r="O4" i="20"/>
  <c r="O2" i="20"/>
  <c r="N4" i="20"/>
  <c r="N2" i="20"/>
  <c r="M4" i="20"/>
  <c r="M2" i="20"/>
  <c r="L4" i="20"/>
  <c r="L2" i="20"/>
  <c r="K4" i="20"/>
  <c r="K2" i="20"/>
  <c r="J4" i="20"/>
  <c r="J2" i="20"/>
  <c r="I4" i="20"/>
  <c r="I2" i="20"/>
  <c r="H4" i="20"/>
  <c r="H2" i="20"/>
  <c r="G4" i="20"/>
  <c r="G2" i="20"/>
  <c r="I15" i="23"/>
  <c r="G15" i="23"/>
  <c r="Z79" i="1"/>
  <c r="X71" i="1"/>
  <c r="X75" i="1" s="1"/>
  <c r="X74" i="1"/>
  <c r="A29" i="1"/>
  <c r="A31" i="1"/>
  <c r="V71" i="1"/>
  <c r="V74" i="1"/>
  <c r="T71" i="1"/>
  <c r="T74" i="1"/>
  <c r="T75" i="1"/>
  <c r="R71" i="1"/>
  <c r="R74" i="1"/>
  <c r="P71" i="1"/>
  <c r="P74" i="1"/>
  <c r="N71" i="1"/>
  <c r="N75" i="1" s="1"/>
  <c r="N74" i="1"/>
  <c r="Z74" i="1" s="1"/>
  <c r="L71" i="1"/>
  <c r="L75" i="1"/>
  <c r="L74" i="1"/>
  <c r="J71" i="1"/>
  <c r="J74" i="1"/>
  <c r="H71" i="1"/>
  <c r="H74" i="1"/>
  <c r="F71" i="1"/>
  <c r="F75" i="1" s="1"/>
  <c r="F74" i="1"/>
  <c r="J6" i="18"/>
  <c r="J5" i="18"/>
  <c r="J10" i="18"/>
  <c r="J9" i="18"/>
  <c r="J8" i="18"/>
  <c r="J7" i="18"/>
  <c r="F52" i="1"/>
  <c r="F57" i="1"/>
  <c r="F85" i="1"/>
  <c r="H52" i="1"/>
  <c r="H57" i="1"/>
  <c r="G36" i="8" s="1"/>
  <c r="H85" i="1"/>
  <c r="J52" i="1"/>
  <c r="G27" i="9"/>
  <c r="J57" i="1"/>
  <c r="J85" i="1"/>
  <c r="L52" i="1"/>
  <c r="K33" i="26"/>
  <c r="L57" i="1"/>
  <c r="L85" i="1"/>
  <c r="N52" i="1"/>
  <c r="K33" i="27" s="1"/>
  <c r="N57" i="1"/>
  <c r="N85" i="1"/>
  <c r="P52" i="1"/>
  <c r="P57" i="1"/>
  <c r="G36" i="12" s="1"/>
  <c r="P85" i="1"/>
  <c r="R52" i="1"/>
  <c r="K33" i="29" s="1"/>
  <c r="R57" i="1"/>
  <c r="R85" i="1"/>
  <c r="T52" i="1"/>
  <c r="T57" i="1"/>
  <c r="T85" i="1"/>
  <c r="V52" i="1"/>
  <c r="K33" i="31"/>
  <c r="V57" i="1"/>
  <c r="V85" i="1"/>
  <c r="X52" i="1"/>
  <c r="X57" i="1"/>
  <c r="X85" i="1"/>
  <c r="K33" i="24"/>
  <c r="G17" i="16"/>
  <c r="G17" i="15"/>
  <c r="G17" i="14"/>
  <c r="G17" i="13"/>
  <c r="G17" i="12"/>
  <c r="G17" i="11"/>
  <c r="G17" i="10"/>
  <c r="G17" i="9"/>
  <c r="G17" i="8"/>
  <c r="G17" i="7"/>
  <c r="F15" i="32"/>
  <c r="V6" i="3"/>
  <c r="E15" i="32"/>
  <c r="F15" i="31"/>
  <c r="U6" i="3"/>
  <c r="E15" i="31"/>
  <c r="F15" i="30"/>
  <c r="T6" i="3"/>
  <c r="E15" i="30"/>
  <c r="F15" i="29"/>
  <c r="S6" i="3"/>
  <c r="E15" i="29"/>
  <c r="F15" i="28"/>
  <c r="R6" i="3"/>
  <c r="E15" i="28"/>
  <c r="F15" i="27"/>
  <c r="Q6" i="3"/>
  <c r="E15" i="27"/>
  <c r="F15" i="26"/>
  <c r="P6" i="3"/>
  <c r="E15" i="26"/>
  <c r="F15" i="25"/>
  <c r="O6" i="3"/>
  <c r="E15" i="25"/>
  <c r="F15" i="24"/>
  <c r="N6" i="3"/>
  <c r="E15" i="24"/>
  <c r="M4" i="3"/>
  <c r="F15" i="23"/>
  <c r="M6" i="3"/>
  <c r="E15" i="23"/>
  <c r="K67" i="32"/>
  <c r="K68" i="32"/>
  <c r="K69" i="32"/>
  <c r="K67" i="31"/>
  <c r="K68" i="31"/>
  <c r="K69" i="31"/>
  <c r="K67" i="30"/>
  <c r="K68" i="30"/>
  <c r="K69" i="30"/>
  <c r="K67" i="29"/>
  <c r="K68" i="29"/>
  <c r="K69" i="29"/>
  <c r="K69" i="28"/>
  <c r="K67" i="28"/>
  <c r="K68" i="28"/>
  <c r="K67" i="27"/>
  <c r="K68" i="27"/>
  <c r="K69" i="27"/>
  <c r="K67" i="26"/>
  <c r="K68" i="26"/>
  <c r="K69" i="26"/>
  <c r="K69" i="25"/>
  <c r="K67" i="25"/>
  <c r="K68" i="25"/>
  <c r="K67" i="24"/>
  <c r="K68" i="24"/>
  <c r="K69" i="24"/>
  <c r="K67" i="23"/>
  <c r="K68" i="23"/>
  <c r="K69" i="23"/>
  <c r="K37" i="32"/>
  <c r="K36" i="32"/>
  <c r="K38" i="32" s="1"/>
  <c r="K32" i="32"/>
  <c r="K31" i="32"/>
  <c r="K30" i="32"/>
  <c r="K29" i="32"/>
  <c r="K28" i="32"/>
  <c r="A32" i="32"/>
  <c r="A31" i="32"/>
  <c r="A30" i="32"/>
  <c r="A29" i="32"/>
  <c r="A28" i="32"/>
  <c r="I23" i="32"/>
  <c r="I22" i="32"/>
  <c r="I21" i="32"/>
  <c r="I20" i="32"/>
  <c r="I19" i="32"/>
  <c r="I18" i="32"/>
  <c r="I17" i="32"/>
  <c r="I16" i="32"/>
  <c r="I15" i="32"/>
  <c r="I14" i="32"/>
  <c r="G23" i="32"/>
  <c r="B23" i="32" s="1"/>
  <c r="G22" i="32"/>
  <c r="B22" i="32" s="1"/>
  <c r="G21" i="32"/>
  <c r="G20" i="32"/>
  <c r="B20" i="32" s="1"/>
  <c r="G19" i="32"/>
  <c r="G18" i="32"/>
  <c r="B18" i="32"/>
  <c r="G17" i="32"/>
  <c r="K17" i="32"/>
  <c r="G16" i="32"/>
  <c r="K16" i="32" s="1"/>
  <c r="G15" i="32"/>
  <c r="G14" i="32"/>
  <c r="K14" i="32" s="1"/>
  <c r="I5" i="32"/>
  <c r="F23" i="32"/>
  <c r="F22" i="32"/>
  <c r="F21" i="32"/>
  <c r="F20" i="32"/>
  <c r="F19" i="32"/>
  <c r="F18" i="32"/>
  <c r="F17" i="32"/>
  <c r="F14" i="32"/>
  <c r="E23" i="32"/>
  <c r="E22" i="32"/>
  <c r="E21" i="32"/>
  <c r="E20" i="32"/>
  <c r="E19" i="32"/>
  <c r="E18" i="32"/>
  <c r="E17" i="32"/>
  <c r="E14" i="32"/>
  <c r="D23" i="32"/>
  <c r="D22" i="32"/>
  <c r="D21" i="32"/>
  <c r="D20" i="32"/>
  <c r="D19" i="32"/>
  <c r="D18" i="32"/>
  <c r="D17" i="32"/>
  <c r="D16" i="32"/>
  <c r="D15" i="32"/>
  <c r="D14" i="32"/>
  <c r="A23" i="32"/>
  <c r="A14" i="32"/>
  <c r="A17" i="32"/>
  <c r="A18" i="32"/>
  <c r="A19" i="32"/>
  <c r="A20" i="32"/>
  <c r="A21" i="32"/>
  <c r="A22" i="32"/>
  <c r="J10" i="32"/>
  <c r="J9" i="32"/>
  <c r="K9" i="32"/>
  <c r="J8" i="32"/>
  <c r="J7" i="32"/>
  <c r="J6" i="32"/>
  <c r="J5" i="32"/>
  <c r="K5" i="32"/>
  <c r="K11" i="32" s="1"/>
  <c r="I10" i="32"/>
  <c r="I9" i="32"/>
  <c r="I8" i="32"/>
  <c r="I7" i="32"/>
  <c r="I6" i="32"/>
  <c r="H9" i="32"/>
  <c r="H8" i="32"/>
  <c r="H7" i="32"/>
  <c r="H6" i="32"/>
  <c r="H5" i="32"/>
  <c r="F5" i="32"/>
  <c r="C5" i="32" s="1"/>
  <c r="G5" i="32"/>
  <c r="G9" i="32"/>
  <c r="G8" i="32"/>
  <c r="G7" i="32"/>
  <c r="G6" i="32"/>
  <c r="F9" i="32"/>
  <c r="C9" i="32" s="1"/>
  <c r="F8" i="32"/>
  <c r="C8" i="32" s="1"/>
  <c r="F7" i="32"/>
  <c r="C7" i="32" s="1"/>
  <c r="F6" i="32"/>
  <c r="C6" i="32" s="1"/>
  <c r="K37" i="31"/>
  <c r="K32" i="31"/>
  <c r="K31" i="31"/>
  <c r="K30" i="31"/>
  <c r="K29" i="31"/>
  <c r="K28" i="31"/>
  <c r="A32" i="31"/>
  <c r="A31" i="31"/>
  <c r="A30" i="31"/>
  <c r="A29" i="31"/>
  <c r="A28" i="31"/>
  <c r="I23" i="31"/>
  <c r="I22" i="31"/>
  <c r="I21" i="31"/>
  <c r="I20" i="31"/>
  <c r="K20" i="31"/>
  <c r="I19" i="31"/>
  <c r="I18" i="31"/>
  <c r="I17" i="31"/>
  <c r="I16" i="31"/>
  <c r="I15" i="31"/>
  <c r="I14" i="31"/>
  <c r="G23" i="31"/>
  <c r="B23" i="31" s="1"/>
  <c r="G22" i="31"/>
  <c r="G21" i="31"/>
  <c r="G20" i="31"/>
  <c r="G19" i="31"/>
  <c r="B19" i="31"/>
  <c r="G18" i="31"/>
  <c r="K18" i="31" s="1"/>
  <c r="G17" i="31"/>
  <c r="K17" i="31" s="1"/>
  <c r="G16" i="31"/>
  <c r="G15" i="31"/>
  <c r="K15" i="31"/>
  <c r="G14" i="31"/>
  <c r="K14" i="31"/>
  <c r="F23" i="31"/>
  <c r="F22" i="31"/>
  <c r="F21" i="31"/>
  <c r="F20" i="31"/>
  <c r="F19" i="31"/>
  <c r="F18" i="31"/>
  <c r="F17" i="31"/>
  <c r="F14" i="31"/>
  <c r="E23" i="31"/>
  <c r="E22" i="31"/>
  <c r="E21" i="31"/>
  <c r="E20" i="31"/>
  <c r="E19" i="31"/>
  <c r="E18" i="31"/>
  <c r="E17" i="31"/>
  <c r="E14" i="31"/>
  <c r="D23" i="31"/>
  <c r="D22" i="31"/>
  <c r="D21" i="31"/>
  <c r="D20" i="31"/>
  <c r="D19" i="31"/>
  <c r="D18" i="31"/>
  <c r="D17" i="31"/>
  <c r="D16" i="31"/>
  <c r="D15" i="31"/>
  <c r="D14" i="31"/>
  <c r="A23" i="31"/>
  <c r="A22" i="31"/>
  <c r="A21" i="31"/>
  <c r="A20" i="31"/>
  <c r="A14" i="31"/>
  <c r="A17" i="31"/>
  <c r="A18" i="31"/>
  <c r="A19" i="31"/>
  <c r="J10" i="31"/>
  <c r="J9" i="31"/>
  <c r="J8" i="31"/>
  <c r="J7" i="31"/>
  <c r="J6" i="31"/>
  <c r="J5" i="31"/>
  <c r="I10" i="31"/>
  <c r="K10" i="31" s="1"/>
  <c r="I9" i="31"/>
  <c r="K9" i="31"/>
  <c r="I8" i="31"/>
  <c r="I7" i="31"/>
  <c r="I6" i="31"/>
  <c r="K6" i="31" s="1"/>
  <c r="I5" i="31"/>
  <c r="K5" i="31"/>
  <c r="H9" i="31"/>
  <c r="H8" i="31"/>
  <c r="F8" i="31"/>
  <c r="C8" i="31" s="1"/>
  <c r="G8" i="31"/>
  <c r="H7" i="31"/>
  <c r="H6" i="31"/>
  <c r="H5" i="31"/>
  <c r="G9" i="31"/>
  <c r="G7" i="31"/>
  <c r="G6" i="31"/>
  <c r="F6" i="31"/>
  <c r="C6" i="31" s="1"/>
  <c r="G5" i="31"/>
  <c r="F9" i="31"/>
  <c r="F7" i="31"/>
  <c r="C7" i="31" s="1"/>
  <c r="F5" i="31"/>
  <c r="C5" i="31" s="1"/>
  <c r="K37" i="30"/>
  <c r="K36" i="30"/>
  <c r="K38" i="30" s="1"/>
  <c r="K32" i="30"/>
  <c r="K31" i="30"/>
  <c r="K30" i="30"/>
  <c r="K29" i="30"/>
  <c r="K28" i="30"/>
  <c r="A32" i="30"/>
  <c r="A31" i="30"/>
  <c r="A30" i="30"/>
  <c r="A29" i="30"/>
  <c r="A28" i="30"/>
  <c r="I23" i="30"/>
  <c r="I22" i="30"/>
  <c r="I21" i="30"/>
  <c r="K21" i="30" s="1"/>
  <c r="I20" i="30"/>
  <c r="I19" i="30"/>
  <c r="I18" i="30"/>
  <c r="I17" i="30"/>
  <c r="I16" i="30"/>
  <c r="I15" i="30"/>
  <c r="I14" i="30"/>
  <c r="G23" i="30"/>
  <c r="G22" i="30"/>
  <c r="G21" i="30"/>
  <c r="G20" i="30"/>
  <c r="G19" i="30"/>
  <c r="K19" i="30" s="1"/>
  <c r="G18" i="30"/>
  <c r="B18" i="30" s="1"/>
  <c r="G17" i="30"/>
  <c r="G16" i="30"/>
  <c r="G15" i="30"/>
  <c r="G14" i="30"/>
  <c r="F23" i="30"/>
  <c r="F22" i="30"/>
  <c r="F21" i="30"/>
  <c r="F20" i="30"/>
  <c r="F19" i="30"/>
  <c r="F18" i="30"/>
  <c r="F17" i="30"/>
  <c r="F14" i="30"/>
  <c r="E23" i="30"/>
  <c r="E22" i="30"/>
  <c r="E21" i="30"/>
  <c r="E20" i="30"/>
  <c r="E19" i="30"/>
  <c r="E18" i="30"/>
  <c r="E17" i="30"/>
  <c r="E14" i="30"/>
  <c r="D23" i="30"/>
  <c r="D22" i="30"/>
  <c r="D21" i="30"/>
  <c r="D20" i="30"/>
  <c r="D19" i="30"/>
  <c r="D18" i="30"/>
  <c r="D17" i="30"/>
  <c r="D16" i="30"/>
  <c r="D15" i="30"/>
  <c r="D14" i="30"/>
  <c r="A23" i="30"/>
  <c r="A14" i="30"/>
  <c r="A17" i="30"/>
  <c r="A18" i="30"/>
  <c r="A19" i="30"/>
  <c r="A20" i="30"/>
  <c r="A21" i="30"/>
  <c r="A22" i="30"/>
  <c r="J10" i="30"/>
  <c r="J9" i="30"/>
  <c r="J8" i="30"/>
  <c r="J7" i="30"/>
  <c r="J6" i="30"/>
  <c r="J5" i="30"/>
  <c r="I10" i="30"/>
  <c r="K10" i="30"/>
  <c r="I9" i="30"/>
  <c r="K9" i="30" s="1"/>
  <c r="I8" i="30"/>
  <c r="K8" i="30" s="1"/>
  <c r="I7" i="30"/>
  <c r="I6" i="30"/>
  <c r="K6" i="30" s="1"/>
  <c r="I5" i="30"/>
  <c r="K5" i="30" s="1"/>
  <c r="H9" i="30"/>
  <c r="H8" i="30"/>
  <c r="H7" i="30"/>
  <c r="H6" i="30"/>
  <c r="H5" i="30"/>
  <c r="G9" i="30"/>
  <c r="G8" i="30"/>
  <c r="G7" i="30"/>
  <c r="G6" i="30"/>
  <c r="G5" i="30"/>
  <c r="F9" i="30"/>
  <c r="C9" i="30" s="1"/>
  <c r="F8" i="30"/>
  <c r="F7" i="30"/>
  <c r="C7" i="30" s="1"/>
  <c r="F6" i="30"/>
  <c r="C6" i="30" s="1"/>
  <c r="F5" i="30"/>
  <c r="C5" i="30" s="1"/>
  <c r="K37" i="29"/>
  <c r="K32" i="29"/>
  <c r="K31" i="29"/>
  <c r="K30" i="29"/>
  <c r="K29" i="29"/>
  <c r="K28" i="29"/>
  <c r="A32" i="29"/>
  <c r="A31" i="29"/>
  <c r="A30" i="29"/>
  <c r="A29" i="29"/>
  <c r="A28" i="29"/>
  <c r="I23" i="29"/>
  <c r="I22" i="29"/>
  <c r="I21" i="29"/>
  <c r="I20" i="29"/>
  <c r="I19" i="29"/>
  <c r="I18" i="29"/>
  <c r="I17" i="29"/>
  <c r="I16" i="29"/>
  <c r="I15" i="29"/>
  <c r="I14" i="29"/>
  <c r="K14" i="29" s="1"/>
  <c r="G23" i="29"/>
  <c r="G22" i="29"/>
  <c r="G21" i="29"/>
  <c r="G20" i="29"/>
  <c r="K20" i="29"/>
  <c r="G19" i="29"/>
  <c r="K19" i="29" s="1"/>
  <c r="G18" i="29"/>
  <c r="K18" i="29" s="1"/>
  <c r="G17" i="29"/>
  <c r="G16" i="29"/>
  <c r="K16" i="29" s="1"/>
  <c r="G15" i="29"/>
  <c r="K15" i="29" s="1"/>
  <c r="G14" i="29"/>
  <c r="F23" i="29"/>
  <c r="F22" i="29"/>
  <c r="F21" i="29"/>
  <c r="F20" i="29"/>
  <c r="F19" i="29"/>
  <c r="F18" i="29"/>
  <c r="F17" i="29"/>
  <c r="F14" i="29"/>
  <c r="E23" i="29"/>
  <c r="E22" i="29"/>
  <c r="E21" i="29"/>
  <c r="E20" i="29"/>
  <c r="E19" i="29"/>
  <c r="E18" i="29"/>
  <c r="E17" i="29"/>
  <c r="E14" i="29"/>
  <c r="D23" i="29"/>
  <c r="D22" i="29"/>
  <c r="D21" i="29"/>
  <c r="D20" i="29"/>
  <c r="D19" i="29"/>
  <c r="D18" i="29"/>
  <c r="D17" i="29"/>
  <c r="D16" i="29"/>
  <c r="D15" i="29"/>
  <c r="D14" i="29"/>
  <c r="A23" i="29"/>
  <c r="A22" i="29"/>
  <c r="A21" i="29"/>
  <c r="A14" i="29"/>
  <c r="A17" i="29"/>
  <c r="A18" i="29"/>
  <c r="A19" i="29"/>
  <c r="A20" i="29"/>
  <c r="J10" i="29"/>
  <c r="J9" i="29"/>
  <c r="K9" i="29"/>
  <c r="J8" i="29"/>
  <c r="J7" i="29"/>
  <c r="J6" i="29"/>
  <c r="K6" i="29" s="1"/>
  <c r="J5" i="29"/>
  <c r="I10" i="29"/>
  <c r="I9" i="29"/>
  <c r="I8" i="29"/>
  <c r="K8" i="29" s="1"/>
  <c r="I7" i="29"/>
  <c r="K7" i="29" s="1"/>
  <c r="I6" i="29"/>
  <c r="I5" i="29"/>
  <c r="K5" i="29"/>
  <c r="K11" i="29" s="1"/>
  <c r="H9" i="29"/>
  <c r="H8" i="29"/>
  <c r="H7" i="29"/>
  <c r="H6" i="29"/>
  <c r="H5" i="29"/>
  <c r="G9" i="29"/>
  <c r="G8" i="29"/>
  <c r="G7" i="29"/>
  <c r="G6" i="29"/>
  <c r="G5" i="29"/>
  <c r="F9" i="29"/>
  <c r="C9" i="29" s="1"/>
  <c r="F8" i="29"/>
  <c r="C8" i="29" s="1"/>
  <c r="F7" i="29"/>
  <c r="F6" i="29"/>
  <c r="C6" i="29" s="1"/>
  <c r="F5" i="29"/>
  <c r="C5" i="29" s="1"/>
  <c r="K37" i="28"/>
  <c r="K36" i="28"/>
  <c r="K38" i="28" s="1"/>
  <c r="K32" i="28"/>
  <c r="K31" i="28"/>
  <c r="K30" i="28"/>
  <c r="K29" i="28"/>
  <c r="K28" i="28"/>
  <c r="A32" i="28"/>
  <c r="A31" i="28"/>
  <c r="A30" i="28"/>
  <c r="A29" i="28"/>
  <c r="A28" i="28"/>
  <c r="I23" i="28"/>
  <c r="I22" i="28"/>
  <c r="I21" i="28"/>
  <c r="I20" i="28"/>
  <c r="I19" i="28"/>
  <c r="I18" i="28"/>
  <c r="I17" i="28"/>
  <c r="K17" i="28" s="1"/>
  <c r="I16" i="28"/>
  <c r="I15" i="28"/>
  <c r="I14" i="28"/>
  <c r="G23" i="28"/>
  <c r="K23" i="28" s="1"/>
  <c r="G22" i="28"/>
  <c r="B22" i="28" s="1"/>
  <c r="G21" i="28"/>
  <c r="G20" i="28"/>
  <c r="G19" i="28"/>
  <c r="K19" i="28" s="1"/>
  <c r="G18" i="28"/>
  <c r="K18" i="28" s="1"/>
  <c r="G17" i="28"/>
  <c r="G16" i="28"/>
  <c r="K16" i="28" s="1"/>
  <c r="G15" i="28"/>
  <c r="G14" i="28"/>
  <c r="F23" i="28"/>
  <c r="F22" i="28"/>
  <c r="F21" i="28"/>
  <c r="F20" i="28"/>
  <c r="F19" i="28"/>
  <c r="F18" i="28"/>
  <c r="F17" i="28"/>
  <c r="F14" i="28"/>
  <c r="E23" i="28"/>
  <c r="E22" i="28"/>
  <c r="E21" i="28"/>
  <c r="E20" i="28"/>
  <c r="E19" i="28"/>
  <c r="E18" i="28"/>
  <c r="E17" i="28"/>
  <c r="E14" i="28"/>
  <c r="D23" i="28"/>
  <c r="D22" i="28"/>
  <c r="D21" i="28"/>
  <c r="D20" i="28"/>
  <c r="D19" i="28"/>
  <c r="D18" i="28"/>
  <c r="D17" i="28"/>
  <c r="D16" i="28"/>
  <c r="D15" i="28"/>
  <c r="D14" i="28"/>
  <c r="A23" i="28"/>
  <c r="A22" i="28"/>
  <c r="A21" i="28"/>
  <c r="A20" i="28"/>
  <c r="A19" i="28"/>
  <c r="A18" i="28"/>
  <c r="A17" i="28"/>
  <c r="A14" i="28"/>
  <c r="J10" i="28"/>
  <c r="J9" i="28"/>
  <c r="J8" i="28"/>
  <c r="J7" i="28"/>
  <c r="J6" i="28"/>
  <c r="J5" i="28"/>
  <c r="K5" i="28" s="1"/>
  <c r="I10" i="28"/>
  <c r="K10" i="28" s="1"/>
  <c r="I9" i="28"/>
  <c r="K9" i="28" s="1"/>
  <c r="I8" i="28"/>
  <c r="I7" i="28"/>
  <c r="K7" i="28" s="1"/>
  <c r="I6" i="28"/>
  <c r="I5" i="28"/>
  <c r="H8" i="28"/>
  <c r="H7" i="28"/>
  <c r="H6" i="28"/>
  <c r="H5" i="28"/>
  <c r="H9" i="28"/>
  <c r="F9" i="28"/>
  <c r="C9" i="28" s="1"/>
  <c r="G9" i="28"/>
  <c r="G8" i="28"/>
  <c r="G7" i="28"/>
  <c r="F7" i="28"/>
  <c r="C7" i="28" s="1"/>
  <c r="G6" i="28"/>
  <c r="G5" i="28"/>
  <c r="F8" i="28"/>
  <c r="C8" i="28" s="1"/>
  <c r="F6" i="28"/>
  <c r="C6" i="28" s="1"/>
  <c r="F5" i="28"/>
  <c r="C5" i="28" s="1"/>
  <c r="K32" i="27"/>
  <c r="K31" i="27"/>
  <c r="K30" i="27"/>
  <c r="K29" i="27"/>
  <c r="K28" i="27"/>
  <c r="A32" i="27"/>
  <c r="A31" i="27"/>
  <c r="A30" i="27"/>
  <c r="A29" i="27"/>
  <c r="A28" i="27"/>
  <c r="I23" i="27"/>
  <c r="I22" i="27"/>
  <c r="I21" i="27"/>
  <c r="I20" i="27"/>
  <c r="I19" i="27"/>
  <c r="I18" i="27"/>
  <c r="I17" i="27"/>
  <c r="I16" i="27"/>
  <c r="K16" i="27" s="1"/>
  <c r="I15" i="27"/>
  <c r="I14" i="27"/>
  <c r="G23" i="27"/>
  <c r="G22" i="27"/>
  <c r="B22" i="27" s="1"/>
  <c r="G21" i="27"/>
  <c r="G20" i="27"/>
  <c r="B20" i="27" s="1"/>
  <c r="G19" i="27"/>
  <c r="G18" i="27"/>
  <c r="G17" i="27"/>
  <c r="K17" i="27" s="1"/>
  <c r="G16" i="27"/>
  <c r="G15" i="27"/>
  <c r="G14" i="27"/>
  <c r="K14" i="27" s="1"/>
  <c r="F23" i="27"/>
  <c r="F22" i="27"/>
  <c r="F21" i="27"/>
  <c r="F20" i="27"/>
  <c r="F19" i="27"/>
  <c r="F18" i="27"/>
  <c r="F17" i="27"/>
  <c r="F14" i="27"/>
  <c r="E23" i="27"/>
  <c r="E22" i="27"/>
  <c r="E21" i="27"/>
  <c r="E20" i="27"/>
  <c r="E19" i="27"/>
  <c r="E18" i="27"/>
  <c r="E17" i="27"/>
  <c r="E14" i="27"/>
  <c r="D23" i="27"/>
  <c r="D22" i="27"/>
  <c r="D21" i="27"/>
  <c r="D20" i="27"/>
  <c r="D19" i="27"/>
  <c r="D18" i="27"/>
  <c r="D17" i="27"/>
  <c r="D16" i="27"/>
  <c r="D15" i="27"/>
  <c r="D14" i="27"/>
  <c r="A23" i="27"/>
  <c r="A22" i="27"/>
  <c r="A21" i="27"/>
  <c r="A20" i="27"/>
  <c r="A19" i="27"/>
  <c r="A18" i="27"/>
  <c r="A17" i="27"/>
  <c r="A14" i="27"/>
  <c r="J10" i="27"/>
  <c r="J9" i="27"/>
  <c r="J8" i="27"/>
  <c r="K8" i="27" s="1"/>
  <c r="K11" i="27" s="1"/>
  <c r="J7" i="27"/>
  <c r="J6" i="27"/>
  <c r="J5" i="27"/>
  <c r="I10" i="27"/>
  <c r="K10" i="27"/>
  <c r="I9" i="27"/>
  <c r="I8" i="27"/>
  <c r="I7" i="27"/>
  <c r="I6" i="27"/>
  <c r="I5" i="27"/>
  <c r="H9" i="27"/>
  <c r="H8" i="27"/>
  <c r="H7" i="27"/>
  <c r="H6" i="27"/>
  <c r="Q4" i="3"/>
  <c r="H5" i="27"/>
  <c r="G9" i="27"/>
  <c r="F9" i="27"/>
  <c r="C9" i="27" s="1"/>
  <c r="G8" i="27"/>
  <c r="G7" i="27"/>
  <c r="G6" i="27"/>
  <c r="G5" i="27"/>
  <c r="F8" i="27"/>
  <c r="C8" i="27" s="1"/>
  <c r="F7" i="27"/>
  <c r="C7" i="27" s="1"/>
  <c r="F6" i="27"/>
  <c r="C6" i="27" s="1"/>
  <c r="F5" i="27"/>
  <c r="C5" i="27" s="1"/>
  <c r="K37" i="26"/>
  <c r="K36" i="26"/>
  <c r="K32" i="26"/>
  <c r="K31" i="26"/>
  <c r="K30" i="26"/>
  <c r="K29" i="26"/>
  <c r="K28" i="26"/>
  <c r="A32" i="26"/>
  <c r="A31" i="26"/>
  <c r="A30" i="26"/>
  <c r="A29" i="26"/>
  <c r="A28" i="26"/>
  <c r="I23" i="26"/>
  <c r="I22" i="26"/>
  <c r="I21" i="26"/>
  <c r="K21" i="26" s="1"/>
  <c r="I20" i="26"/>
  <c r="I19" i="26"/>
  <c r="I18" i="26"/>
  <c r="I17" i="26"/>
  <c r="I16" i="26"/>
  <c r="I15" i="26"/>
  <c r="K15" i="26" s="1"/>
  <c r="I14" i="26"/>
  <c r="G23" i="26"/>
  <c r="G22" i="26"/>
  <c r="B22" i="26"/>
  <c r="G21" i="26"/>
  <c r="B21" i="26"/>
  <c r="G20" i="26"/>
  <c r="G19" i="26"/>
  <c r="G18" i="26"/>
  <c r="G17" i="26"/>
  <c r="G16" i="26"/>
  <c r="K16" i="26" s="1"/>
  <c r="G15" i="26"/>
  <c r="G14" i="26"/>
  <c r="K14" i="26"/>
  <c r="F23" i="26"/>
  <c r="F22" i="26"/>
  <c r="F21" i="26"/>
  <c r="F20" i="26"/>
  <c r="F19" i="26"/>
  <c r="F18" i="26"/>
  <c r="F17" i="26"/>
  <c r="F14" i="26"/>
  <c r="E23" i="26"/>
  <c r="E22" i="26"/>
  <c r="E21" i="26"/>
  <c r="E20" i="26"/>
  <c r="E19" i="26"/>
  <c r="E18" i="26"/>
  <c r="E17" i="26"/>
  <c r="E14" i="26"/>
  <c r="D23" i="26"/>
  <c r="D22" i="26"/>
  <c r="D21" i="26"/>
  <c r="D20" i="26"/>
  <c r="D19" i="26"/>
  <c r="D18" i="26"/>
  <c r="D17" i="26"/>
  <c r="D16" i="26"/>
  <c r="D15" i="26"/>
  <c r="D14" i="26"/>
  <c r="A23" i="26"/>
  <c r="A22" i="26"/>
  <c r="A21" i="26"/>
  <c r="A20" i="26"/>
  <c r="A19" i="26"/>
  <c r="A18" i="26"/>
  <c r="A17" i="26"/>
  <c r="A14" i="26"/>
  <c r="J10" i="26"/>
  <c r="J9" i="26"/>
  <c r="J8" i="26"/>
  <c r="J7" i="26"/>
  <c r="J6" i="26"/>
  <c r="J5" i="26"/>
  <c r="I10" i="26"/>
  <c r="K10" i="26" s="1"/>
  <c r="I9" i="26"/>
  <c r="K9" i="26" s="1"/>
  <c r="I8" i="26"/>
  <c r="I7" i="26"/>
  <c r="I6" i="26"/>
  <c r="I5" i="26"/>
  <c r="K5" i="26"/>
  <c r="K11" i="26" s="1"/>
  <c r="H9" i="26"/>
  <c r="H8" i="26"/>
  <c r="F8" i="26"/>
  <c r="G8" i="26"/>
  <c r="H7" i="26"/>
  <c r="H6" i="26"/>
  <c r="P4" i="3"/>
  <c r="H5" i="26"/>
  <c r="G9" i="26"/>
  <c r="G7" i="26"/>
  <c r="G6" i="26"/>
  <c r="G5" i="26"/>
  <c r="F9" i="26"/>
  <c r="C9" i="26" s="1"/>
  <c r="F7" i="26"/>
  <c r="C7" i="26" s="1"/>
  <c r="F6" i="26"/>
  <c r="F5" i="26"/>
  <c r="C5" i="26" s="1"/>
  <c r="K37" i="25"/>
  <c r="K32" i="25"/>
  <c r="K31" i="25"/>
  <c r="K30" i="25"/>
  <c r="K29" i="25"/>
  <c r="K28" i="25"/>
  <c r="A32" i="25"/>
  <c r="A31" i="25"/>
  <c r="A30" i="25"/>
  <c r="A29" i="25"/>
  <c r="A28" i="25"/>
  <c r="I23" i="25"/>
  <c r="I22" i="25"/>
  <c r="I21" i="25"/>
  <c r="I20" i="25"/>
  <c r="I19" i="25"/>
  <c r="I18" i="25"/>
  <c r="I17" i="25"/>
  <c r="I16" i="25"/>
  <c r="I15" i="25"/>
  <c r="K15" i="25" s="1"/>
  <c r="K24" i="25" s="1"/>
  <c r="I14" i="25"/>
  <c r="G23" i="25"/>
  <c r="K23" i="25"/>
  <c r="B23" i="25"/>
  <c r="G22" i="25"/>
  <c r="G21" i="25"/>
  <c r="G20" i="25"/>
  <c r="B20" i="25" s="1"/>
  <c r="K20" i="25"/>
  <c r="G19" i="25"/>
  <c r="K19" i="25" s="1"/>
  <c r="G18" i="25"/>
  <c r="K18" i="25" s="1"/>
  <c r="G17" i="25"/>
  <c r="G16" i="25"/>
  <c r="G15" i="25"/>
  <c r="G14" i="25"/>
  <c r="F23" i="25"/>
  <c r="F22" i="25"/>
  <c r="F21" i="25"/>
  <c r="F20" i="25"/>
  <c r="F19" i="25"/>
  <c r="F18" i="25"/>
  <c r="F17" i="25"/>
  <c r="F14" i="25"/>
  <c r="E23" i="25"/>
  <c r="E22" i="25"/>
  <c r="E21" i="25"/>
  <c r="E20" i="25"/>
  <c r="E19" i="25"/>
  <c r="E18" i="25"/>
  <c r="E17" i="25"/>
  <c r="E14" i="25"/>
  <c r="D23" i="25"/>
  <c r="D22" i="25"/>
  <c r="D21" i="25"/>
  <c r="D20" i="25"/>
  <c r="D19" i="25"/>
  <c r="D18" i="25"/>
  <c r="D17" i="25"/>
  <c r="D16" i="25"/>
  <c r="D15" i="25"/>
  <c r="D14" i="25"/>
  <c r="A23" i="25"/>
  <c r="A22" i="25"/>
  <c r="A21" i="25"/>
  <c r="A20" i="25"/>
  <c r="A19" i="25"/>
  <c r="A14" i="25"/>
  <c r="A17" i="25"/>
  <c r="A18" i="25"/>
  <c r="J10" i="25"/>
  <c r="J9" i="25"/>
  <c r="J8" i="25"/>
  <c r="J7" i="25"/>
  <c r="J6" i="25"/>
  <c r="J5" i="25"/>
  <c r="I10" i="25"/>
  <c r="I9" i="25"/>
  <c r="K9" i="25" s="1"/>
  <c r="I8" i="25"/>
  <c r="K8" i="25" s="1"/>
  <c r="I7" i="25"/>
  <c r="K7" i="25" s="1"/>
  <c r="I6" i="25"/>
  <c r="I5" i="25"/>
  <c r="K5" i="25" s="1"/>
  <c r="K11" i="25" s="1"/>
  <c r="K25" i="25" s="1"/>
  <c r="H9" i="25"/>
  <c r="F9" i="25"/>
  <c r="C9" i="25" s="1"/>
  <c r="G9" i="25"/>
  <c r="H8" i="25"/>
  <c r="H7" i="25"/>
  <c r="H6" i="25"/>
  <c r="O4" i="3"/>
  <c r="H5" i="25"/>
  <c r="G8" i="25"/>
  <c r="G7" i="25"/>
  <c r="G6" i="25"/>
  <c r="G5" i="25"/>
  <c r="F8" i="25"/>
  <c r="C8" i="25" s="1"/>
  <c r="F7" i="25"/>
  <c r="F6" i="25"/>
  <c r="C6" i="25" s="1"/>
  <c r="F5" i="25"/>
  <c r="C5" i="25" s="1"/>
  <c r="K37" i="24"/>
  <c r="K32" i="24"/>
  <c r="K31" i="24"/>
  <c r="K30" i="24"/>
  <c r="K29" i="24"/>
  <c r="K28" i="24"/>
  <c r="A32" i="24"/>
  <c r="A31" i="24"/>
  <c r="A30" i="24"/>
  <c r="A29" i="24"/>
  <c r="A28" i="24"/>
  <c r="I23" i="24"/>
  <c r="I22" i="24"/>
  <c r="I21" i="24"/>
  <c r="K21" i="24" s="1"/>
  <c r="I20" i="24"/>
  <c r="I19" i="24"/>
  <c r="I18" i="24"/>
  <c r="I17" i="24"/>
  <c r="I16" i="24"/>
  <c r="I15" i="24"/>
  <c r="I14" i="24"/>
  <c r="G23" i="24"/>
  <c r="B23" i="24" s="1"/>
  <c r="G22" i="24"/>
  <c r="G21" i="24"/>
  <c r="G20" i="24"/>
  <c r="K20" i="24" s="1"/>
  <c r="G19" i="24"/>
  <c r="K19" i="24" s="1"/>
  <c r="G18" i="24"/>
  <c r="K18" i="24" s="1"/>
  <c r="G17" i="24"/>
  <c r="G16" i="24"/>
  <c r="K16" i="24" s="1"/>
  <c r="G15" i="24"/>
  <c r="K15" i="24" s="1"/>
  <c r="G14" i="24"/>
  <c r="K14" i="24" s="1"/>
  <c r="F23" i="24"/>
  <c r="F22" i="24"/>
  <c r="F21" i="24"/>
  <c r="F20" i="24"/>
  <c r="F19" i="24"/>
  <c r="F18" i="24"/>
  <c r="F17" i="24"/>
  <c r="F14" i="24"/>
  <c r="E23" i="24"/>
  <c r="E22" i="24"/>
  <c r="E21" i="24"/>
  <c r="E20" i="24"/>
  <c r="E19" i="24"/>
  <c r="E18" i="24"/>
  <c r="E17" i="24"/>
  <c r="E14" i="24"/>
  <c r="D23" i="24"/>
  <c r="D22" i="24"/>
  <c r="D21" i="24"/>
  <c r="D20" i="24"/>
  <c r="D19" i="24"/>
  <c r="D18" i="24"/>
  <c r="D17" i="24"/>
  <c r="D16" i="24"/>
  <c r="D15" i="24"/>
  <c r="D14" i="24"/>
  <c r="A23" i="24"/>
  <c r="A22" i="24"/>
  <c r="A21" i="24"/>
  <c r="A20" i="24"/>
  <c r="A19" i="24"/>
  <c r="A14" i="24"/>
  <c r="A17" i="24"/>
  <c r="A18" i="24"/>
  <c r="J10" i="24"/>
  <c r="K10" i="24" s="1"/>
  <c r="J9" i="24"/>
  <c r="J8" i="24"/>
  <c r="J7" i="24"/>
  <c r="J6" i="24"/>
  <c r="J5" i="24"/>
  <c r="K5" i="24" s="1"/>
  <c r="K11" i="24" s="1"/>
  <c r="I10" i="24"/>
  <c r="I9" i="24"/>
  <c r="K9" i="24"/>
  <c r="I8" i="24"/>
  <c r="K8" i="24"/>
  <c r="I7" i="24"/>
  <c r="I6" i="24"/>
  <c r="K6" i="24" s="1"/>
  <c r="I5" i="24"/>
  <c r="H9" i="24"/>
  <c r="H8" i="24"/>
  <c r="H7" i="24"/>
  <c r="H6" i="24"/>
  <c r="N4" i="3"/>
  <c r="H5" i="24"/>
  <c r="G9" i="24"/>
  <c r="G8" i="24"/>
  <c r="G7" i="24"/>
  <c r="G6" i="24"/>
  <c r="G5" i="24"/>
  <c r="F9" i="24"/>
  <c r="C9" i="24" s="1"/>
  <c r="F8" i="24"/>
  <c r="C8" i="24" s="1"/>
  <c r="F7" i="24"/>
  <c r="C7" i="24" s="1"/>
  <c r="F6" i="24"/>
  <c r="C6" i="24" s="1"/>
  <c r="F5" i="24"/>
  <c r="C5" i="24" s="1"/>
  <c r="C32" i="33"/>
  <c r="I5" i="23"/>
  <c r="J5" i="23"/>
  <c r="K5" i="23" s="1"/>
  <c r="I6" i="23"/>
  <c r="J6" i="23"/>
  <c r="K6" i="23" s="1"/>
  <c r="I7" i="23"/>
  <c r="J7" i="23"/>
  <c r="K7" i="23" s="1"/>
  <c r="I8" i="23"/>
  <c r="J8" i="23"/>
  <c r="I9" i="23"/>
  <c r="J9" i="23"/>
  <c r="I10" i="23"/>
  <c r="J10" i="23"/>
  <c r="K10" i="23" s="1"/>
  <c r="G14" i="23"/>
  <c r="I14" i="23"/>
  <c r="K14" i="23" s="1"/>
  <c r="G16" i="23"/>
  <c r="I16" i="23"/>
  <c r="K16" i="23" s="1"/>
  <c r="G17" i="23"/>
  <c r="K17" i="23"/>
  <c r="I17" i="23"/>
  <c r="G18" i="23"/>
  <c r="I18" i="23"/>
  <c r="G19" i="23"/>
  <c r="K19" i="23" s="1"/>
  <c r="I19" i="23"/>
  <c r="G20" i="23"/>
  <c r="B20" i="23" s="1"/>
  <c r="I20" i="23"/>
  <c r="K20" i="23" s="1"/>
  <c r="G21" i="23"/>
  <c r="I21" i="23"/>
  <c r="G22" i="23"/>
  <c r="I22" i="23"/>
  <c r="K22" i="23"/>
  <c r="G23" i="23"/>
  <c r="I23" i="23"/>
  <c r="K23" i="23" s="1"/>
  <c r="K17" i="25"/>
  <c r="K7" i="26"/>
  <c r="K17" i="26"/>
  <c r="K22" i="26"/>
  <c r="K6" i="27"/>
  <c r="K15" i="27"/>
  <c r="K21" i="27"/>
  <c r="K8" i="28"/>
  <c r="K14" i="28"/>
  <c r="K22" i="28"/>
  <c r="K10" i="29"/>
  <c r="K17" i="29"/>
  <c r="K23" i="29"/>
  <c r="K7" i="30"/>
  <c r="K15" i="30"/>
  <c r="K17" i="30"/>
  <c r="K16" i="31"/>
  <c r="K21" i="31"/>
  <c r="K6" i="32"/>
  <c r="K7" i="32"/>
  <c r="K15" i="32"/>
  <c r="K18" i="32"/>
  <c r="K21" i="32"/>
  <c r="K22" i="32"/>
  <c r="K23" i="32"/>
  <c r="B28" i="33"/>
  <c r="A14" i="23"/>
  <c r="A17" i="23"/>
  <c r="A18" i="23"/>
  <c r="A19" i="23"/>
  <c r="A20" i="23"/>
  <c r="A21" i="23"/>
  <c r="A22" i="23"/>
  <c r="A23" i="23"/>
  <c r="B21" i="32"/>
  <c r="B19" i="32"/>
  <c r="B21" i="31"/>
  <c r="B20" i="31"/>
  <c r="B18" i="31"/>
  <c r="B22" i="30"/>
  <c r="B21" i="30"/>
  <c r="B23" i="29"/>
  <c r="B20" i="29"/>
  <c r="B19" i="29"/>
  <c r="B18" i="29"/>
  <c r="B21" i="28"/>
  <c r="B20" i="28"/>
  <c r="B19" i="28"/>
  <c r="B23" i="27"/>
  <c r="B21" i="27"/>
  <c r="B19" i="27"/>
  <c r="B20" i="26"/>
  <c r="B20" i="24"/>
  <c r="D23" i="23"/>
  <c r="D22" i="23"/>
  <c r="D21" i="23"/>
  <c r="D20" i="23"/>
  <c r="D19" i="23"/>
  <c r="D18" i="23"/>
  <c r="D17" i="23"/>
  <c r="D15" i="23"/>
  <c r="D14" i="23"/>
  <c r="F9" i="23"/>
  <c r="C9" i="23" s="1"/>
  <c r="F8" i="23"/>
  <c r="C8" i="23" s="1"/>
  <c r="F7" i="23"/>
  <c r="C7" i="23" s="1"/>
  <c r="F5" i="23"/>
  <c r="C5" i="23" s="1"/>
  <c r="F6" i="23"/>
  <c r="C6" i="23" s="1"/>
  <c r="F14" i="23"/>
  <c r="E14" i="23"/>
  <c r="F17" i="23"/>
  <c r="F18" i="23"/>
  <c r="E17" i="23"/>
  <c r="E18" i="23"/>
  <c r="G6" i="23"/>
  <c r="H6" i="23"/>
  <c r="G7" i="23"/>
  <c r="H7" i="23"/>
  <c r="G8" i="23"/>
  <c r="H8" i="23"/>
  <c r="G9" i="23"/>
  <c r="H9" i="23"/>
  <c r="G5" i="23"/>
  <c r="H5" i="23"/>
  <c r="K32" i="23"/>
  <c r="K31" i="23"/>
  <c r="K30" i="23"/>
  <c r="K29" i="23"/>
  <c r="K28" i="23"/>
  <c r="F23" i="23"/>
  <c r="F22" i="23"/>
  <c r="F21" i="23"/>
  <c r="F20" i="23"/>
  <c r="F19" i="23"/>
  <c r="E23" i="23"/>
  <c r="E22" i="23"/>
  <c r="E21" i="23"/>
  <c r="E20" i="23"/>
  <c r="E19" i="23"/>
  <c r="B23" i="23"/>
  <c r="B19" i="23"/>
  <c r="B17" i="7"/>
  <c r="B17" i="8"/>
  <c r="B17" i="9"/>
  <c r="B17" i="10"/>
  <c r="B17" i="11"/>
  <c r="B17" i="12"/>
  <c r="B17" i="13"/>
  <c r="B17" i="14"/>
  <c r="B17" i="15"/>
  <c r="B17" i="16"/>
  <c r="D16" i="23"/>
  <c r="G9" i="7"/>
  <c r="D22" i="7"/>
  <c r="A29" i="23"/>
  <c r="A30" i="23"/>
  <c r="A31" i="23"/>
  <c r="A32" i="23"/>
  <c r="A28" i="23"/>
  <c r="A22" i="7"/>
  <c r="G4" i="7"/>
  <c r="B4" i="7" s="1"/>
  <c r="B7" i="18"/>
  <c r="D23" i="7"/>
  <c r="D23" i="8"/>
  <c r="D23" i="22" s="1"/>
  <c r="D23" i="9"/>
  <c r="D23" i="10"/>
  <c r="D23" i="11"/>
  <c r="D23" i="12"/>
  <c r="D23" i="13"/>
  <c r="D23" i="14"/>
  <c r="D23" i="15"/>
  <c r="D23" i="16"/>
  <c r="D24" i="7"/>
  <c r="D24" i="22" s="1"/>
  <c r="D24" i="8"/>
  <c r="D24" i="9"/>
  <c r="D24" i="10"/>
  <c r="D24" i="11"/>
  <c r="D24" i="12"/>
  <c r="D24" i="13"/>
  <c r="D24" i="14"/>
  <c r="D24" i="15"/>
  <c r="D24" i="16"/>
  <c r="D25" i="7"/>
  <c r="D25" i="8"/>
  <c r="D25" i="9"/>
  <c r="D25" i="10"/>
  <c r="D25" i="11"/>
  <c r="D25" i="22" s="1"/>
  <c r="D25" i="12"/>
  <c r="D25" i="13"/>
  <c r="D25" i="14"/>
  <c r="D25" i="15"/>
  <c r="D25" i="16"/>
  <c r="D26" i="7"/>
  <c r="D26" i="8"/>
  <c r="D26" i="9"/>
  <c r="D26" i="10"/>
  <c r="D26" i="11"/>
  <c r="D26" i="12"/>
  <c r="D26" i="13"/>
  <c r="D26" i="22" s="1"/>
  <c r="D26" i="14"/>
  <c r="D26" i="15"/>
  <c r="D26" i="16"/>
  <c r="D22" i="8"/>
  <c r="D22" i="9"/>
  <c r="D22" i="10"/>
  <c r="D22" i="11"/>
  <c r="D22" i="12"/>
  <c r="D22" i="13"/>
  <c r="D22" i="14"/>
  <c r="D22" i="15"/>
  <c r="D22" i="16"/>
  <c r="D22" i="22" s="1"/>
  <c r="B12" i="7"/>
  <c r="B12" i="8"/>
  <c r="B12" i="9"/>
  <c r="B12" i="10"/>
  <c r="B12" i="11"/>
  <c r="B12" i="12"/>
  <c r="B12" i="13"/>
  <c r="B12" i="14"/>
  <c r="B12" i="15"/>
  <c r="B12" i="16"/>
  <c r="A26" i="22"/>
  <c r="A25" i="22"/>
  <c r="A24" i="22"/>
  <c r="A23" i="22"/>
  <c r="A22" i="22"/>
  <c r="G36" i="9"/>
  <c r="G36" i="10"/>
  <c r="G36" i="11"/>
  <c r="G36" i="13"/>
  <c r="G36" i="14"/>
  <c r="G36" i="15"/>
  <c r="G36" i="16"/>
  <c r="G30" i="7"/>
  <c r="G30" i="8"/>
  <c r="G30" i="10"/>
  <c r="G30" i="12"/>
  <c r="G30" i="14"/>
  <c r="G30" i="15"/>
  <c r="G29" i="10"/>
  <c r="G29" i="12"/>
  <c r="G29" i="13"/>
  <c r="G29" i="14"/>
  <c r="G29" i="16"/>
  <c r="G27" i="8"/>
  <c r="G27" i="10"/>
  <c r="G27" i="11"/>
  <c r="G27" i="13"/>
  <c r="G27" i="15"/>
  <c r="B13" i="7"/>
  <c r="B13" i="8"/>
  <c r="B13" i="9"/>
  <c r="B13" i="10"/>
  <c r="B13" i="11"/>
  <c r="B13" i="12"/>
  <c r="B13" i="13"/>
  <c r="B13" i="14"/>
  <c r="B13" i="15"/>
  <c r="B13" i="16"/>
  <c r="B16" i="7"/>
  <c r="B16" i="8"/>
  <c r="B16" i="9"/>
  <c r="B16" i="10"/>
  <c r="B16" i="11"/>
  <c r="B16" i="12"/>
  <c r="B16" i="13"/>
  <c r="B16" i="14"/>
  <c r="B16" i="15"/>
  <c r="B16" i="16"/>
  <c r="G16" i="16"/>
  <c r="G16" i="7"/>
  <c r="G16" i="8"/>
  <c r="G16" i="9"/>
  <c r="G16" i="10"/>
  <c r="G16" i="11"/>
  <c r="G16" i="12"/>
  <c r="G16" i="13"/>
  <c r="G16" i="14"/>
  <c r="G16" i="15"/>
  <c r="G15" i="16"/>
  <c r="G15" i="7"/>
  <c r="G15" i="8"/>
  <c r="G15" i="9"/>
  <c r="G15" i="10"/>
  <c r="G15" i="11"/>
  <c r="G15" i="12"/>
  <c r="G15" i="13"/>
  <c r="G15" i="14"/>
  <c r="G15" i="15"/>
  <c r="G14" i="16"/>
  <c r="G14" i="7"/>
  <c r="G14" i="8"/>
  <c r="G14" i="9"/>
  <c r="G14" i="10"/>
  <c r="G14" i="11"/>
  <c r="G14" i="12"/>
  <c r="G14" i="13"/>
  <c r="G14" i="14"/>
  <c r="G14" i="15"/>
  <c r="G13" i="16"/>
  <c r="G13" i="7"/>
  <c r="G13" i="8"/>
  <c r="G13" i="9"/>
  <c r="G13" i="10"/>
  <c r="G13" i="11"/>
  <c r="G13" i="12"/>
  <c r="G13" i="13"/>
  <c r="G13" i="14"/>
  <c r="G13" i="15"/>
  <c r="G12" i="16"/>
  <c r="G12" i="7"/>
  <c r="G12" i="8"/>
  <c r="G12" i="9"/>
  <c r="G12" i="10"/>
  <c r="G12" i="11"/>
  <c r="G12" i="12"/>
  <c r="G12" i="13"/>
  <c r="G12" i="14"/>
  <c r="G12" i="15"/>
  <c r="F13" i="22"/>
  <c r="F12" i="22"/>
  <c r="E12" i="22"/>
  <c r="E13" i="22"/>
  <c r="D13" i="7"/>
  <c r="D13" i="8"/>
  <c r="D13" i="9"/>
  <c r="D13" i="10"/>
  <c r="D13" i="11"/>
  <c r="D13" i="12"/>
  <c r="D13" i="22" s="1"/>
  <c r="D13" i="13"/>
  <c r="D13" i="14"/>
  <c r="D13" i="15"/>
  <c r="D13" i="16"/>
  <c r="D12" i="7"/>
  <c r="D12" i="8"/>
  <c r="D12" i="9"/>
  <c r="D12" i="10"/>
  <c r="D12" i="11"/>
  <c r="D12" i="12"/>
  <c r="D12" i="13"/>
  <c r="D12" i="14"/>
  <c r="D12" i="22" s="1"/>
  <c r="D12" i="15"/>
  <c r="D12" i="16"/>
  <c r="G4" i="16"/>
  <c r="B4" i="16" s="1"/>
  <c r="G5" i="16"/>
  <c r="G6" i="16"/>
  <c r="G7" i="16"/>
  <c r="B7" i="16" s="1"/>
  <c r="G8" i="16"/>
  <c r="B8" i="16" s="1"/>
  <c r="G9" i="16"/>
  <c r="G5" i="7"/>
  <c r="G6" i="7"/>
  <c r="B6" i="7" s="1"/>
  <c r="G7" i="7"/>
  <c r="B7" i="7" s="1"/>
  <c r="G8" i="7"/>
  <c r="G4" i="8"/>
  <c r="G10" i="8" s="1"/>
  <c r="G18" i="8" s="1"/>
  <c r="G5" i="8"/>
  <c r="B5" i="8" s="1"/>
  <c r="G6" i="8"/>
  <c r="G7" i="8"/>
  <c r="B7" i="8" s="1"/>
  <c r="G8" i="8"/>
  <c r="B8" i="8" s="1"/>
  <c r="G9" i="8"/>
  <c r="G4" i="9"/>
  <c r="G5" i="9"/>
  <c r="B5" i="9" s="1"/>
  <c r="G6" i="9"/>
  <c r="B6" i="9" s="1"/>
  <c r="G7" i="9"/>
  <c r="G8" i="9"/>
  <c r="B8" i="9"/>
  <c r="G9" i="9"/>
  <c r="G4" i="10"/>
  <c r="B4" i="10" s="1"/>
  <c r="G5" i="10"/>
  <c r="G6" i="10"/>
  <c r="B6" i="10" s="1"/>
  <c r="G7" i="10"/>
  <c r="B7" i="10" s="1"/>
  <c r="G8" i="10"/>
  <c r="G9" i="10"/>
  <c r="G4" i="11"/>
  <c r="B4" i="11"/>
  <c r="G5" i="11"/>
  <c r="B5" i="11"/>
  <c r="G6" i="11"/>
  <c r="G7" i="11"/>
  <c r="G8" i="11"/>
  <c r="B8" i="11" s="1"/>
  <c r="G9" i="11"/>
  <c r="G4" i="12"/>
  <c r="B4" i="12" s="1"/>
  <c r="G5" i="12"/>
  <c r="B5" i="12" s="1"/>
  <c r="G6" i="12"/>
  <c r="G7" i="12"/>
  <c r="B7" i="12"/>
  <c r="G8" i="12"/>
  <c r="B8" i="12" s="1"/>
  <c r="G9" i="12"/>
  <c r="G4" i="13"/>
  <c r="G5" i="13"/>
  <c r="G10" i="13" s="1"/>
  <c r="G18" i="13" s="1"/>
  <c r="G6" i="13"/>
  <c r="B6" i="13" s="1"/>
  <c r="G7" i="13"/>
  <c r="B7" i="13"/>
  <c r="G8" i="13"/>
  <c r="G9" i="13"/>
  <c r="G4" i="14"/>
  <c r="G5" i="14"/>
  <c r="G6" i="14"/>
  <c r="G7" i="14"/>
  <c r="B7" i="14"/>
  <c r="G8" i="14"/>
  <c r="B8" i="14" s="1"/>
  <c r="G9" i="14"/>
  <c r="G4" i="15"/>
  <c r="G5" i="15"/>
  <c r="B5" i="15"/>
  <c r="G6" i="15"/>
  <c r="G7" i="15"/>
  <c r="B7" i="15" s="1"/>
  <c r="G8" i="15"/>
  <c r="B8" i="15" s="1"/>
  <c r="G9" i="15"/>
  <c r="F4" i="7"/>
  <c r="F5" i="7"/>
  <c r="F6" i="7"/>
  <c r="F7" i="7"/>
  <c r="F8" i="7"/>
  <c r="F8" i="8"/>
  <c r="F8" i="9"/>
  <c r="F8" i="10"/>
  <c r="F8" i="11"/>
  <c r="F8" i="12"/>
  <c r="F8" i="13"/>
  <c r="F8" i="14"/>
  <c r="F8" i="15"/>
  <c r="F8" i="16"/>
  <c r="F9" i="7"/>
  <c r="F4" i="8"/>
  <c r="F5" i="8"/>
  <c r="F6" i="8"/>
  <c r="F7" i="8"/>
  <c r="F9" i="8"/>
  <c r="F4" i="9"/>
  <c r="F5" i="9"/>
  <c r="F6" i="9"/>
  <c r="F7" i="9"/>
  <c r="F9" i="9"/>
  <c r="F4" i="10"/>
  <c r="F5" i="10"/>
  <c r="F6" i="10"/>
  <c r="F7" i="10"/>
  <c r="F9" i="10"/>
  <c r="F4" i="11"/>
  <c r="F5" i="11"/>
  <c r="F6" i="11"/>
  <c r="F7" i="11"/>
  <c r="F9" i="11"/>
  <c r="F4" i="12"/>
  <c r="F5" i="12"/>
  <c r="F6" i="12"/>
  <c r="F7" i="12"/>
  <c r="F9" i="12"/>
  <c r="F4" i="13"/>
  <c r="F5" i="13"/>
  <c r="F6" i="13"/>
  <c r="F7" i="13"/>
  <c r="F9" i="13"/>
  <c r="F9" i="14"/>
  <c r="F9" i="15"/>
  <c r="F9" i="16"/>
  <c r="F4" i="14"/>
  <c r="F5" i="14"/>
  <c r="F6" i="14"/>
  <c r="F7" i="14"/>
  <c r="F4" i="15"/>
  <c r="F5" i="15"/>
  <c r="F6" i="15"/>
  <c r="F6" i="16"/>
  <c r="F7" i="15"/>
  <c r="F4" i="16"/>
  <c r="F5" i="16"/>
  <c r="F7" i="16"/>
  <c r="E4" i="7"/>
  <c r="E5" i="7"/>
  <c r="E6" i="7"/>
  <c r="E7" i="7"/>
  <c r="E8" i="7"/>
  <c r="E9" i="7"/>
  <c r="E4" i="8"/>
  <c r="E5" i="8"/>
  <c r="E6" i="8"/>
  <c r="E7" i="8"/>
  <c r="E8" i="8"/>
  <c r="E9" i="8"/>
  <c r="E4" i="9"/>
  <c r="E5" i="9"/>
  <c r="E6" i="9"/>
  <c r="E7" i="9"/>
  <c r="E8" i="9"/>
  <c r="E9" i="9"/>
  <c r="E4" i="10"/>
  <c r="E5" i="10"/>
  <c r="E6" i="10"/>
  <c r="E6" i="11"/>
  <c r="E6" i="12"/>
  <c r="E6" i="13"/>
  <c r="E6" i="14"/>
  <c r="E6" i="15"/>
  <c r="E6" i="16"/>
  <c r="E7" i="10"/>
  <c r="E8" i="10"/>
  <c r="E9" i="10"/>
  <c r="E4" i="11"/>
  <c r="E5" i="11"/>
  <c r="E7" i="11"/>
  <c r="E8" i="11"/>
  <c r="E9" i="11"/>
  <c r="E4" i="12"/>
  <c r="E5" i="12"/>
  <c r="E7" i="12"/>
  <c r="E8" i="12"/>
  <c r="E9" i="12"/>
  <c r="E4" i="13"/>
  <c r="E5" i="13"/>
  <c r="E7" i="13"/>
  <c r="E8" i="13"/>
  <c r="E9" i="13"/>
  <c r="E4" i="14"/>
  <c r="E5" i="14"/>
  <c r="E7" i="14"/>
  <c r="E8" i="14"/>
  <c r="E9" i="14"/>
  <c r="E4" i="15"/>
  <c r="E5" i="15"/>
  <c r="E7" i="15"/>
  <c r="E8" i="15"/>
  <c r="E9" i="15"/>
  <c r="E4" i="16"/>
  <c r="E5" i="16"/>
  <c r="E7" i="16"/>
  <c r="E8" i="16"/>
  <c r="E9" i="16"/>
  <c r="D4" i="7"/>
  <c r="D5" i="7"/>
  <c r="D6" i="7"/>
  <c r="D7" i="7"/>
  <c r="D8" i="7"/>
  <c r="D9" i="7"/>
  <c r="D4" i="8"/>
  <c r="D5" i="8"/>
  <c r="D6" i="8"/>
  <c r="D7" i="8"/>
  <c r="D8" i="8"/>
  <c r="D9" i="8"/>
  <c r="D4" i="9"/>
  <c r="D5" i="9"/>
  <c r="D6" i="9"/>
  <c r="D7" i="9"/>
  <c r="D8" i="9"/>
  <c r="D9" i="9"/>
  <c r="D4" i="10"/>
  <c r="D5" i="10"/>
  <c r="D6" i="10"/>
  <c r="D7" i="10"/>
  <c r="D8" i="10"/>
  <c r="D9" i="10"/>
  <c r="D4" i="11"/>
  <c r="D5" i="11"/>
  <c r="D6" i="11"/>
  <c r="D7" i="11"/>
  <c r="D8" i="11"/>
  <c r="D9" i="11"/>
  <c r="D4" i="12"/>
  <c r="D5" i="12"/>
  <c r="D6" i="12"/>
  <c r="D7" i="12"/>
  <c r="D8" i="12"/>
  <c r="D9" i="12"/>
  <c r="D4" i="13"/>
  <c r="D5" i="13"/>
  <c r="D6" i="13"/>
  <c r="D7" i="13"/>
  <c r="D8" i="13"/>
  <c r="D9" i="13"/>
  <c r="D4" i="14"/>
  <c r="D5" i="14"/>
  <c r="D6" i="14"/>
  <c r="D7" i="14"/>
  <c r="D8" i="14"/>
  <c r="D9" i="14"/>
  <c r="D4" i="15"/>
  <c r="D5" i="15"/>
  <c r="D6" i="15"/>
  <c r="D7" i="15"/>
  <c r="D8" i="15"/>
  <c r="D9" i="15"/>
  <c r="D4" i="16"/>
  <c r="D5" i="16"/>
  <c r="D6" i="16"/>
  <c r="D7" i="16"/>
  <c r="D8" i="16"/>
  <c r="D9" i="16"/>
  <c r="B9" i="16"/>
  <c r="B9" i="7"/>
  <c r="B9" i="8"/>
  <c r="B9" i="9"/>
  <c r="B10" i="9" s="1"/>
  <c r="B9" i="10"/>
  <c r="B10" i="10" s="1"/>
  <c r="B9" i="11"/>
  <c r="B10" i="11" s="1"/>
  <c r="B9" i="12"/>
  <c r="B9" i="13"/>
  <c r="B9" i="14"/>
  <c r="B9" i="15"/>
  <c r="A26" i="16"/>
  <c r="A26" i="15"/>
  <c r="A26" i="14"/>
  <c r="A26" i="13"/>
  <c r="A26" i="12"/>
  <c r="A26" i="11"/>
  <c r="A26" i="10"/>
  <c r="A26" i="9"/>
  <c r="A26" i="8"/>
  <c r="A26" i="7"/>
  <c r="Z113" i="1"/>
  <c r="C14" i="4" s="1"/>
  <c r="Z38" i="1"/>
  <c r="Z43" i="1"/>
  <c r="Z51" i="1"/>
  <c r="Z56" i="1"/>
  <c r="Z84" i="1"/>
  <c r="F14" i="18"/>
  <c r="F13" i="18"/>
  <c r="F12" i="18"/>
  <c r="G12" i="18"/>
  <c r="F11" i="18"/>
  <c r="F10" i="18"/>
  <c r="H10" i="18" s="1"/>
  <c r="G10" i="18"/>
  <c r="F9" i="18"/>
  <c r="H9" i="18" s="1"/>
  <c r="F8" i="18"/>
  <c r="H8" i="18" s="1"/>
  <c r="F7" i="18"/>
  <c r="G7" i="18"/>
  <c r="F6" i="18"/>
  <c r="G6" i="18"/>
  <c r="F5" i="18"/>
  <c r="C5" i="18"/>
  <c r="B5" i="18"/>
  <c r="D5" i="18" s="1"/>
  <c r="B14" i="18"/>
  <c r="C14" i="18"/>
  <c r="B13" i="18"/>
  <c r="B12" i="18"/>
  <c r="B11" i="18"/>
  <c r="B10" i="18"/>
  <c r="C10" i="18"/>
  <c r="B9" i="18"/>
  <c r="D9" i="18" s="1"/>
  <c r="B8" i="18"/>
  <c r="B6" i="18"/>
  <c r="C6" i="18"/>
  <c r="B6" i="15"/>
  <c r="B6" i="14"/>
  <c r="B5" i="14"/>
  <c r="B8" i="13"/>
  <c r="B6" i="12"/>
  <c r="B7" i="11"/>
  <c r="B8" i="10"/>
  <c r="B7" i="9"/>
  <c r="B5" i="7"/>
  <c r="A4" i="3"/>
  <c r="B4" i="3"/>
  <c r="A25" i="16"/>
  <c r="A24" i="16"/>
  <c r="A23" i="16"/>
  <c r="A22" i="16"/>
  <c r="A25" i="15"/>
  <c r="A24" i="15"/>
  <c r="A23" i="15"/>
  <c r="A22" i="15"/>
  <c r="A25" i="14"/>
  <c r="A24" i="14"/>
  <c r="A23" i="14"/>
  <c r="A22" i="14"/>
  <c r="A25" i="13"/>
  <c r="A24" i="13"/>
  <c r="A23" i="13"/>
  <c r="A22" i="13"/>
  <c r="A25" i="12"/>
  <c r="A24" i="12"/>
  <c r="A23" i="12"/>
  <c r="A22" i="12"/>
  <c r="A25" i="11"/>
  <c r="A24" i="11"/>
  <c r="A23" i="11"/>
  <c r="A22" i="11"/>
  <c r="A25" i="10"/>
  <c r="A24" i="10"/>
  <c r="A23" i="10"/>
  <c r="A22" i="10"/>
  <c r="A25" i="9"/>
  <c r="A24" i="9"/>
  <c r="A23" i="9"/>
  <c r="A22" i="9"/>
  <c r="A23" i="8"/>
  <c r="A24" i="8"/>
  <c r="A25" i="8"/>
  <c r="A22" i="8"/>
  <c r="A25" i="7"/>
  <c r="A24" i="7"/>
  <c r="A23" i="7"/>
  <c r="Z49" i="1"/>
  <c r="Z50" i="1"/>
  <c r="Z48" i="1"/>
  <c r="V4" i="3"/>
  <c r="U4" i="3"/>
  <c r="T4" i="3"/>
  <c r="S4" i="3"/>
  <c r="R4" i="3"/>
  <c r="A6" i="3"/>
  <c r="G14" i="18"/>
  <c r="G13" i="18"/>
  <c r="G11" i="18"/>
  <c r="G9" i="18"/>
  <c r="G8" i="18"/>
  <c r="G5" i="18"/>
  <c r="C13" i="18"/>
  <c r="D13" i="18" s="1"/>
  <c r="C12" i="18"/>
  <c r="C11" i="18"/>
  <c r="C9" i="18"/>
  <c r="C8" i="18"/>
  <c r="C7" i="18"/>
  <c r="D7" i="18"/>
  <c r="A5" i="21"/>
  <c r="A2" i="21"/>
  <c r="B4" i="20"/>
  <c r="A4" i="20"/>
  <c r="B2" i="20"/>
  <c r="E29" i="1"/>
  <c r="B29" i="1"/>
  <c r="B6" i="3"/>
  <c r="E31" i="1"/>
  <c r="B31" i="1"/>
  <c r="Z80" i="1"/>
  <c r="Z37" i="1"/>
  <c r="Z83" i="1"/>
  <c r="Z47" i="1"/>
  <c r="Z55" i="1"/>
  <c r="Z78" i="1"/>
  <c r="Z42" i="1"/>
  <c r="G4" i="3"/>
  <c r="V22" i="1" s="1"/>
  <c r="AE4" i="3" s="1"/>
  <c r="B22" i="23"/>
  <c r="J75" i="1"/>
  <c r="L66" i="1"/>
  <c r="H75" i="1"/>
  <c r="B14" i="4"/>
  <c r="B4" i="13"/>
  <c r="K7" i="24"/>
  <c r="K5" i="27"/>
  <c r="R75" i="1"/>
  <c r="B6" i="8"/>
  <c r="K18" i="23"/>
  <c r="B18" i="23"/>
  <c r="B21" i="23"/>
  <c r="B22" i="24"/>
  <c r="K22" i="24"/>
  <c r="K20" i="30"/>
  <c r="B20" i="30"/>
  <c r="G10" i="12"/>
  <c r="G18" i="12"/>
  <c r="K9" i="23"/>
  <c r="K38" i="26"/>
  <c r="K36" i="31"/>
  <c r="K38" i="31"/>
  <c r="B21" i="24"/>
  <c r="L6" i="3"/>
  <c r="E4" i="20"/>
  <c r="B21" i="25"/>
  <c r="K21" i="25"/>
  <c r="K6" i="25"/>
  <c r="B23" i="28"/>
  <c r="K22" i="29"/>
  <c r="B22" i="29"/>
  <c r="K19" i="26"/>
  <c r="B19" i="26"/>
  <c r="K20" i="26"/>
  <c r="Z52" i="1"/>
  <c r="G27" i="22" s="1"/>
  <c r="K33" i="28"/>
  <c r="G27" i="12"/>
  <c r="Z57" i="1"/>
  <c r="C11" i="33" s="1"/>
  <c r="G36" i="7"/>
  <c r="K18" i="30"/>
  <c r="K20" i="32"/>
  <c r="J6" i="3"/>
  <c r="C4" i="20"/>
  <c r="J4" i="3"/>
  <c r="C2" i="20"/>
  <c r="J88" i="1" s="1"/>
  <c r="B8" i="7"/>
  <c r="P75" i="1"/>
  <c r="G6" i="3"/>
  <c r="F24" i="1" s="1"/>
  <c r="K15" i="28"/>
  <c r="B4" i="9"/>
  <c r="B6" i="11"/>
  <c r="B18" i="24"/>
  <c r="K21" i="23"/>
  <c r="K10" i="25"/>
  <c r="K23" i="27"/>
  <c r="K6" i="28"/>
  <c r="K10" i="32"/>
  <c r="R66" i="1"/>
  <c r="B19" i="24"/>
  <c r="K8" i="23"/>
  <c r="K16" i="25"/>
  <c r="K14" i="25"/>
  <c r="K8" i="26"/>
  <c r="K7" i="27"/>
  <c r="K20" i="27"/>
  <c r="K21" i="28"/>
  <c r="K16" i="30"/>
  <c r="K14" i="30"/>
  <c r="K22" i="30"/>
  <c r="K19" i="32"/>
  <c r="Z65" i="1"/>
  <c r="K18" i="26"/>
  <c r="B18" i="28"/>
  <c r="K19" i="31"/>
  <c r="K33" i="25"/>
  <c r="G27" i="16"/>
  <c r="K33" i="32"/>
  <c r="K36" i="23"/>
  <c r="G29" i="7"/>
  <c r="G29" i="9"/>
  <c r="K36" i="25"/>
  <c r="K38" i="25"/>
  <c r="G29" i="11"/>
  <c r="K36" i="27"/>
  <c r="G10" i="14"/>
  <c r="G18" i="14" s="1"/>
  <c r="B4" i="14"/>
  <c r="K6" i="26"/>
  <c r="K20" i="28"/>
  <c r="K23" i="30"/>
  <c r="B23" i="30"/>
  <c r="Z62" i="1"/>
  <c r="B2" i="21"/>
  <c r="F66" i="1"/>
  <c r="B23" i="26"/>
  <c r="K23" i="26"/>
  <c r="B22" i="31"/>
  <c r="K22" i="31"/>
  <c r="T66" i="1"/>
  <c r="B4" i="15"/>
  <c r="K18" i="27"/>
  <c r="B18" i="27"/>
  <c r="B18" i="26"/>
  <c r="K9" i="27"/>
  <c r="K19" i="27"/>
  <c r="K21" i="29"/>
  <c r="B21" i="29"/>
  <c r="K7" i="31"/>
  <c r="K8" i="32"/>
  <c r="G27" i="7"/>
  <c r="K33" i="23"/>
  <c r="B22" i="25"/>
  <c r="K22" i="25"/>
  <c r="K8" i="31"/>
  <c r="K33" i="30"/>
  <c r="G27" i="14"/>
  <c r="B5" i="10"/>
  <c r="K17" i="24"/>
  <c r="C7" i="29"/>
  <c r="Z85" i="1"/>
  <c r="K15" i="23"/>
  <c r="Z44" i="1"/>
  <c r="G30" i="22" s="1"/>
  <c r="K37" i="23"/>
  <c r="K38" i="23" s="1"/>
  <c r="K23" i="24"/>
  <c r="L4" i="3"/>
  <c r="E2" i="20" s="1"/>
  <c r="G10" i="11"/>
  <c r="G18" i="11" s="1"/>
  <c r="C2" i="21"/>
  <c r="K4" i="3"/>
  <c r="D2" i="20"/>
  <c r="H14" i="18"/>
  <c r="X88" i="1"/>
  <c r="H13" i="18"/>
  <c r="G38" i="13"/>
  <c r="D2" i="21"/>
  <c r="F2" i="21" s="1"/>
  <c r="E2" i="21"/>
  <c r="D9" i="24" l="1"/>
  <c r="D14" i="18"/>
  <c r="K57" i="30"/>
  <c r="E8" i="27"/>
  <c r="Z71" i="1"/>
  <c r="D5" i="28"/>
  <c r="C5" i="21"/>
  <c r="D5" i="21"/>
  <c r="K25" i="29"/>
  <c r="K24" i="26"/>
  <c r="K25" i="26" s="1"/>
  <c r="G29" i="22"/>
  <c r="C8" i="33"/>
  <c r="B9" i="33"/>
  <c r="K24" i="28"/>
  <c r="K24" i="30"/>
  <c r="K11" i="28"/>
  <c r="K11" i="31"/>
  <c r="K24" i="24"/>
  <c r="K25" i="24" s="1"/>
  <c r="D5" i="23"/>
  <c r="E5" i="23"/>
  <c r="K24" i="23"/>
  <c r="K11" i="23"/>
  <c r="K24" i="29"/>
  <c r="K11" i="30"/>
  <c r="K25" i="30" s="1"/>
  <c r="K24" i="31"/>
  <c r="K24" i="32"/>
  <c r="K25" i="32" s="1"/>
  <c r="A66" i="23"/>
  <c r="C2" i="4"/>
  <c r="C10" i="4" s="1"/>
  <c r="C47" i="7"/>
  <c r="H105" i="1"/>
  <c r="C47" i="8" s="1"/>
  <c r="B2" i="4"/>
  <c r="B10" i="8"/>
  <c r="B5" i="13"/>
  <c r="G10" i="9"/>
  <c r="G18" i="9" s="1"/>
  <c r="B4" i="8"/>
  <c r="G29" i="8"/>
  <c r="K22" i="27"/>
  <c r="K24" i="27" s="1"/>
  <c r="K25" i="27" s="1"/>
  <c r="H2" i="21"/>
  <c r="I2" i="21" s="1"/>
  <c r="G6" i="22"/>
  <c r="B6" i="22" s="1"/>
  <c r="G12" i="22"/>
  <c r="G17" i="22"/>
  <c r="B10" i="7"/>
  <c r="V88" i="1"/>
  <c r="G36" i="22"/>
  <c r="D10" i="18"/>
  <c r="H7" i="18"/>
  <c r="G2" i="21"/>
  <c r="G10" i="10"/>
  <c r="G18" i="10" s="1"/>
  <c r="G10" i="7"/>
  <c r="G18" i="7" s="1"/>
  <c r="D11" i="18"/>
  <c r="K37" i="27"/>
  <c r="K38" i="27" s="1"/>
  <c r="G10" i="15"/>
  <c r="G18" i="15" s="1"/>
  <c r="D12" i="18"/>
  <c r="B10" i="15"/>
  <c r="X89" i="1"/>
  <c r="F88" i="1"/>
  <c r="B18" i="25"/>
  <c r="R88" i="1"/>
  <c r="B10" i="14"/>
  <c r="G16" i="22"/>
  <c r="V75" i="1"/>
  <c r="K53" i="31" s="1"/>
  <c r="N88" i="1"/>
  <c r="B10" i="33"/>
  <c r="H11" i="18"/>
  <c r="B10" i="12"/>
  <c r="G15" i="22"/>
  <c r="B19" i="25"/>
  <c r="K36" i="24"/>
  <c r="K38" i="24" s="1"/>
  <c r="T88" i="1"/>
  <c r="K23" i="31"/>
  <c r="F10" i="11"/>
  <c r="E9" i="23"/>
  <c r="B19" i="30"/>
  <c r="P88" i="1"/>
  <c r="H88" i="1"/>
  <c r="L88" i="1"/>
  <c r="H12" i="18"/>
  <c r="G14" i="22"/>
  <c r="C7" i="33"/>
  <c r="H5" i="18"/>
  <c r="G9" i="22"/>
  <c r="D8" i="18"/>
  <c r="G13" i="22"/>
  <c r="D7" i="22"/>
  <c r="K50" i="25"/>
  <c r="J105" i="1"/>
  <c r="N105" i="1" s="1"/>
  <c r="C35" i="8"/>
  <c r="K49" i="29"/>
  <c r="C33" i="16"/>
  <c r="C32" i="13"/>
  <c r="G39" i="16"/>
  <c r="K49" i="27"/>
  <c r="C34" i="8"/>
  <c r="K57" i="26"/>
  <c r="K43" i="24"/>
  <c r="K50" i="31"/>
  <c r="G40" i="15"/>
  <c r="G41" i="7"/>
  <c r="E10" i="8"/>
  <c r="K50" i="26"/>
  <c r="K54" i="25"/>
  <c r="K42" i="28"/>
  <c r="K57" i="24"/>
  <c r="C32" i="7"/>
  <c r="E7" i="29"/>
  <c r="K52" i="29"/>
  <c r="E5" i="27"/>
  <c r="K54" i="27"/>
  <c r="G40" i="8"/>
  <c r="K49" i="31"/>
  <c r="K54" i="28"/>
  <c r="G38" i="7"/>
  <c r="G40" i="10"/>
  <c r="G41" i="16"/>
  <c r="V90" i="1"/>
  <c r="H90" i="1"/>
  <c r="F90" i="1"/>
  <c r="X90" i="1"/>
  <c r="X92" i="1" s="1"/>
  <c r="P90" i="1"/>
  <c r="L90" i="1"/>
  <c r="T90" i="1"/>
  <c r="N90" i="1"/>
  <c r="J90" i="1"/>
  <c r="R90" i="1"/>
  <c r="K53" i="25"/>
  <c r="L89" i="1"/>
  <c r="F89" i="1"/>
  <c r="V89" i="1"/>
  <c r="V92" i="1" s="1"/>
  <c r="P89" i="1"/>
  <c r="P92" i="1" s="1"/>
  <c r="P95" i="1" s="1"/>
  <c r="T89" i="1"/>
  <c r="H89" i="1"/>
  <c r="H92" i="1" s="1"/>
  <c r="H95" i="1" s="1"/>
  <c r="N89" i="1"/>
  <c r="D6" i="18"/>
  <c r="R89" i="1"/>
  <c r="J89" i="1"/>
  <c r="H6" i="18"/>
  <c r="E8" i="28"/>
  <c r="D8" i="28"/>
  <c r="D8" i="25"/>
  <c r="E8" i="25"/>
  <c r="D6" i="24"/>
  <c r="E6" i="24"/>
  <c r="D7" i="27"/>
  <c r="E7" i="27"/>
  <c r="D9" i="23"/>
  <c r="E4" i="22"/>
  <c r="E9" i="24"/>
  <c r="B9" i="24" s="1"/>
  <c r="A9" i="24" s="1"/>
  <c r="D7" i="29"/>
  <c r="E10" i="11"/>
  <c r="E9" i="22"/>
  <c r="F9" i="22"/>
  <c r="B16" i="22"/>
  <c r="B13" i="22"/>
  <c r="B17" i="22"/>
  <c r="D5" i="22"/>
  <c r="D9" i="22"/>
  <c r="E10" i="16"/>
  <c r="A24" i="27"/>
  <c r="F10" i="15"/>
  <c r="E10" i="14"/>
  <c r="D8" i="27"/>
  <c r="F10" i="9"/>
  <c r="D10" i="11"/>
  <c r="A24" i="23"/>
  <c r="E5" i="24"/>
  <c r="A24" i="31"/>
  <c r="H24" i="1"/>
  <c r="H31" i="1" s="1"/>
  <c r="AH6" i="3" s="1"/>
  <c r="G4" i="22"/>
  <c r="B4" i="22" s="1"/>
  <c r="V24" i="1"/>
  <c r="AE6" i="3" s="1"/>
  <c r="J24" i="1"/>
  <c r="J31" i="1" s="1"/>
  <c r="AI6" i="3" s="1"/>
  <c r="P24" i="1"/>
  <c r="AB6" i="3" s="1"/>
  <c r="L24" i="1"/>
  <c r="Z6" i="3" s="1"/>
  <c r="N24" i="1"/>
  <c r="AA6" i="3" s="1"/>
  <c r="X24" i="1"/>
  <c r="AF6" i="3" s="1"/>
  <c r="T24" i="1"/>
  <c r="AD6" i="3" s="1"/>
  <c r="G42" i="7"/>
  <c r="X22" i="1"/>
  <c r="AF4" i="3" s="1"/>
  <c r="L22" i="1"/>
  <c r="R24" i="1"/>
  <c r="H22" i="1"/>
  <c r="H29" i="1" s="1"/>
  <c r="AH4" i="3" s="1"/>
  <c r="R22" i="1"/>
  <c r="AC4" i="3" s="1"/>
  <c r="T22" i="1"/>
  <c r="AD4" i="3" s="1"/>
  <c r="N22" i="1"/>
  <c r="F22" i="1"/>
  <c r="W4" i="3" s="1"/>
  <c r="P22" i="1"/>
  <c r="J22" i="1"/>
  <c r="J29" i="1" s="1"/>
  <c r="AI4" i="3" s="1"/>
  <c r="G42" i="13"/>
  <c r="D9" i="27"/>
  <c r="E9" i="27"/>
  <c r="D7" i="24"/>
  <c r="E7" i="24"/>
  <c r="D6" i="27"/>
  <c r="E6" i="27"/>
  <c r="D9" i="30"/>
  <c r="E9" i="30"/>
  <c r="D6" i="23"/>
  <c r="E6" i="23"/>
  <c r="D7" i="26"/>
  <c r="E7" i="26"/>
  <c r="D8" i="32"/>
  <c r="E8" i="32"/>
  <c r="D9" i="32"/>
  <c r="E9" i="32"/>
  <c r="E5" i="29"/>
  <c r="D5" i="29"/>
  <c r="A66" i="25"/>
  <c r="P105" i="1"/>
  <c r="C47" i="12" s="1"/>
  <c r="E10" i="13"/>
  <c r="E10" i="12"/>
  <c r="E8" i="24"/>
  <c r="A24" i="24"/>
  <c r="D9" i="28"/>
  <c r="D6" i="29"/>
  <c r="A24" i="29"/>
  <c r="G42" i="8"/>
  <c r="D10" i="16"/>
  <c r="D10" i="14"/>
  <c r="D10" i="13"/>
  <c r="D10" i="12"/>
  <c r="A24" i="28"/>
  <c r="D10" i="15"/>
  <c r="A24" i="26"/>
  <c r="A24" i="30"/>
  <c r="D10" i="7"/>
  <c r="A24" i="32"/>
  <c r="E10" i="7"/>
  <c r="F10" i="16"/>
  <c r="F10" i="14"/>
  <c r="F10" i="13"/>
  <c r="F7" i="22"/>
  <c r="G42" i="14"/>
  <c r="G42" i="11"/>
  <c r="V29" i="1"/>
  <c r="AO4" i="3" s="1"/>
  <c r="F31" i="1"/>
  <c r="AG6" i="3" s="1"/>
  <c r="G42" i="12"/>
  <c r="G7" i="22"/>
  <c r="B7" i="22" s="1"/>
  <c r="W6" i="3"/>
  <c r="G42" i="9"/>
  <c r="Z66" i="1"/>
  <c r="B6" i="16"/>
  <c r="G42" i="16"/>
  <c r="G8" i="22"/>
  <c r="B8" i="22" s="1"/>
  <c r="Z107" i="1"/>
  <c r="C3" i="4"/>
  <c r="C4" i="4" s="1"/>
  <c r="C9" i="4"/>
  <c r="C6" i="26"/>
  <c r="E5" i="31"/>
  <c r="D5" i="31"/>
  <c r="D6" i="32"/>
  <c r="E6" i="32"/>
  <c r="E9" i="25"/>
  <c r="D9" i="25"/>
  <c r="D7" i="31"/>
  <c r="E7" i="31"/>
  <c r="D8" i="24"/>
  <c r="E7" i="23"/>
  <c r="D7" i="23"/>
  <c r="D5" i="25"/>
  <c r="E5" i="25"/>
  <c r="E6" i="29"/>
  <c r="C9" i="31"/>
  <c r="D7" i="32"/>
  <c r="E7" i="32"/>
  <c r="B10" i="16"/>
  <c r="G10" i="16"/>
  <c r="B5" i="16"/>
  <c r="G5" i="22"/>
  <c r="B5" i="22" s="1"/>
  <c r="B12" i="22"/>
  <c r="D5" i="24"/>
  <c r="D6" i="25"/>
  <c r="E6" i="25"/>
  <c r="A24" i="25"/>
  <c r="D9" i="26"/>
  <c r="E9" i="26"/>
  <c r="D7" i="28"/>
  <c r="E7" i="28"/>
  <c r="D6" i="30"/>
  <c r="E6" i="30"/>
  <c r="E5" i="22"/>
  <c r="E10" i="9"/>
  <c r="F4" i="22"/>
  <c r="F10" i="10"/>
  <c r="F10" i="8"/>
  <c r="F6" i="22"/>
  <c r="F10" i="12"/>
  <c r="F8" i="22"/>
  <c r="F10" i="7"/>
  <c r="F5" i="22"/>
  <c r="D8" i="23"/>
  <c r="E8" i="23"/>
  <c r="C7" i="25"/>
  <c r="E5" i="28"/>
  <c r="E7" i="30"/>
  <c r="D7" i="30"/>
  <c r="E6" i="31"/>
  <c r="D6" i="31"/>
  <c r="E8" i="31"/>
  <c r="D8" i="31"/>
  <c r="D5" i="32"/>
  <c r="E5" i="32"/>
  <c r="E7" i="22"/>
  <c r="E10" i="15"/>
  <c r="E10" i="10"/>
  <c r="E8" i="22"/>
  <c r="C8" i="26"/>
  <c r="E8" i="29"/>
  <c r="D8" i="29"/>
  <c r="C8" i="30"/>
  <c r="E5" i="30"/>
  <c r="D5" i="30"/>
  <c r="E9" i="28"/>
  <c r="B9" i="28" s="1"/>
  <c r="A9" i="28" s="1"/>
  <c r="D8" i="22"/>
  <c r="D10" i="10"/>
  <c r="D10" i="9"/>
  <c r="D6" i="22"/>
  <c r="D4" i="22"/>
  <c r="D10" i="8"/>
  <c r="E6" i="28"/>
  <c r="D6" i="28"/>
  <c r="D9" i="29"/>
  <c r="E9" i="29"/>
  <c r="K53" i="26"/>
  <c r="G42" i="10"/>
  <c r="B9" i="22"/>
  <c r="B10" i="13"/>
  <c r="E6" i="22"/>
  <c r="D5" i="26"/>
  <c r="E5" i="26"/>
  <c r="D5" i="27"/>
  <c r="K53" i="30"/>
  <c r="K55" i="27"/>
  <c r="K43" i="23"/>
  <c r="K55" i="29"/>
  <c r="G38" i="8"/>
  <c r="G41" i="10"/>
  <c r="K49" i="30"/>
  <c r="K45" i="23"/>
  <c r="K54" i="29"/>
  <c r="G38" i="15"/>
  <c r="C35" i="16"/>
  <c r="K52" i="28"/>
  <c r="G40" i="16"/>
  <c r="K42" i="23"/>
  <c r="K52" i="27"/>
  <c r="G39" i="14"/>
  <c r="C34" i="10"/>
  <c r="K57" i="23"/>
  <c r="K44" i="27"/>
  <c r="K43" i="30"/>
  <c r="K52" i="30"/>
  <c r="G41" i="12"/>
  <c r="K44" i="25"/>
  <c r="K51" i="30"/>
  <c r="K49" i="23"/>
  <c r="C33" i="12"/>
  <c r="G39" i="8"/>
  <c r="K41" i="30"/>
  <c r="G38" i="10"/>
  <c r="K54" i="32"/>
  <c r="K42" i="26"/>
  <c r="K55" i="26"/>
  <c r="K51" i="24"/>
  <c r="K49" i="24"/>
  <c r="C32" i="14"/>
  <c r="K49" i="25"/>
  <c r="K41" i="28"/>
  <c r="K57" i="29"/>
  <c r="K44" i="24"/>
  <c r="K43" i="28"/>
  <c r="K45" i="28"/>
  <c r="C33" i="11"/>
  <c r="K49" i="26"/>
  <c r="K49" i="28"/>
  <c r="K43" i="26"/>
  <c r="C34" i="16"/>
  <c r="K44" i="32"/>
  <c r="G40" i="9"/>
  <c r="G39" i="13"/>
  <c r="K55" i="25"/>
  <c r="K41" i="24"/>
  <c r="G39" i="7"/>
  <c r="C34" i="7"/>
  <c r="G43" i="8"/>
  <c r="K53" i="29"/>
  <c r="K50" i="23"/>
  <c r="C34" i="14"/>
  <c r="K44" i="28"/>
  <c r="K45" i="32"/>
  <c r="K52" i="25"/>
  <c r="K42" i="30"/>
  <c r="K41" i="31"/>
  <c r="K51" i="28"/>
  <c r="G38" i="16"/>
  <c r="K57" i="31"/>
  <c r="C33" i="10"/>
  <c r="K42" i="24"/>
  <c r="G38" i="14"/>
  <c r="C32" i="10"/>
  <c r="G40" i="13"/>
  <c r="K41" i="26"/>
  <c r="C32" i="9"/>
  <c r="C34" i="12"/>
  <c r="K57" i="32"/>
  <c r="K52" i="23"/>
  <c r="K50" i="27"/>
  <c r="C33" i="7"/>
  <c r="C33" i="13"/>
  <c r="C33" i="9"/>
  <c r="K53" i="27"/>
  <c r="K53" i="23"/>
  <c r="G39" i="15"/>
  <c r="K43" i="32"/>
  <c r="C33" i="8"/>
  <c r="K43" i="31"/>
  <c r="C32" i="11"/>
  <c r="K54" i="31"/>
  <c r="K50" i="29"/>
  <c r="K50" i="30"/>
  <c r="K43" i="29"/>
  <c r="G40" i="7"/>
  <c r="K54" i="24"/>
  <c r="K55" i="31"/>
  <c r="K45" i="27"/>
  <c r="K52" i="32"/>
  <c r="K55" i="32"/>
  <c r="C34" i="11"/>
  <c r="K41" i="23"/>
  <c r="C33" i="14"/>
  <c r="C35" i="12"/>
  <c r="K45" i="24"/>
  <c r="G41" i="15"/>
  <c r="G40" i="11"/>
  <c r="K51" i="29"/>
  <c r="K50" i="24"/>
  <c r="K49" i="32"/>
  <c r="K41" i="29"/>
  <c r="K53" i="32"/>
  <c r="K53" i="28"/>
  <c r="K53" i="24"/>
  <c r="K44" i="30"/>
  <c r="K55" i="28"/>
  <c r="K41" i="32"/>
  <c r="C35" i="7"/>
  <c r="G38" i="9"/>
  <c r="K42" i="29"/>
  <c r="K51" i="23"/>
  <c r="C35" i="10"/>
  <c r="K51" i="27"/>
  <c r="K45" i="29"/>
  <c r="K42" i="27"/>
  <c r="G41" i="11"/>
  <c r="K52" i="26"/>
  <c r="G38" i="12"/>
  <c r="K57" i="27"/>
  <c r="C32" i="8"/>
  <c r="K52" i="24"/>
  <c r="K42" i="32"/>
  <c r="G39" i="11"/>
  <c r="K51" i="25"/>
  <c r="K41" i="27"/>
  <c r="K55" i="24"/>
  <c r="C35" i="13"/>
  <c r="K57" i="25"/>
  <c r="K42" i="31"/>
  <c r="K51" i="31"/>
  <c r="C32" i="16"/>
  <c r="K44" i="23"/>
  <c r="K43" i="25"/>
  <c r="G38" i="11"/>
  <c r="C35" i="9"/>
  <c r="K44" i="26"/>
  <c r="K45" i="31"/>
  <c r="C34" i="15"/>
  <c r="K55" i="23"/>
  <c r="K50" i="32"/>
  <c r="K45" i="30"/>
  <c r="K45" i="26"/>
  <c r="G40" i="14"/>
  <c r="K43" i="27"/>
  <c r="G40" i="12"/>
  <c r="K50" i="28"/>
  <c r="G41" i="14"/>
  <c r="C34" i="9"/>
  <c r="C34" i="13"/>
  <c r="G39" i="9"/>
  <c r="K54" i="30"/>
  <c r="K45" i="25"/>
  <c r="C35" i="11"/>
  <c r="C32" i="15"/>
  <c r="G39" i="12"/>
  <c r="K44" i="31"/>
  <c r="K51" i="26"/>
  <c r="C35" i="15"/>
  <c r="G41" i="13"/>
  <c r="K42" i="25"/>
  <c r="K44" i="29"/>
  <c r="C33" i="15"/>
  <c r="C35" i="14"/>
  <c r="K57" i="28"/>
  <c r="G39" i="10"/>
  <c r="K41" i="25"/>
  <c r="K54" i="23"/>
  <c r="K54" i="26"/>
  <c r="G41" i="8"/>
  <c r="K51" i="32"/>
  <c r="K55" i="30"/>
  <c r="G41" i="9"/>
  <c r="C32" i="12"/>
  <c r="K52" i="31"/>
  <c r="B5" i="23" l="1"/>
  <c r="A5" i="23" s="1"/>
  <c r="B8" i="27"/>
  <c r="A8" i="27" s="1"/>
  <c r="B9" i="23"/>
  <c r="A9" i="23" s="1"/>
  <c r="G42" i="15"/>
  <c r="G42" i="22" s="1"/>
  <c r="R105" i="1"/>
  <c r="C47" i="13" s="1"/>
  <c r="L105" i="1"/>
  <c r="A66" i="26" s="1"/>
  <c r="B7" i="29"/>
  <c r="A7" i="29" s="1"/>
  <c r="Z75" i="1"/>
  <c r="A66" i="24"/>
  <c r="V105" i="1"/>
  <c r="A66" i="31" s="1"/>
  <c r="C47" i="9"/>
  <c r="B5" i="28"/>
  <c r="A5" i="28" s="1"/>
  <c r="B8" i="25"/>
  <c r="A8" i="25" s="1"/>
  <c r="V95" i="1"/>
  <c r="J2" i="21"/>
  <c r="K2" i="21" s="1"/>
  <c r="G43" i="16"/>
  <c r="G44" i="16" s="1"/>
  <c r="X95" i="1"/>
  <c r="X93" i="1"/>
  <c r="K56" i="32"/>
  <c r="K59" i="32" s="1"/>
  <c r="F5" i="21"/>
  <c r="G5" i="21"/>
  <c r="K25" i="31"/>
  <c r="K25" i="28"/>
  <c r="B6" i="29"/>
  <c r="A6" i="29" s="1"/>
  <c r="E5" i="21"/>
  <c r="C3" i="33"/>
  <c r="K25" i="23"/>
  <c r="J92" i="1"/>
  <c r="J93" i="1" s="1"/>
  <c r="L92" i="1"/>
  <c r="C4" i="33"/>
  <c r="H5" i="21"/>
  <c r="R92" i="1"/>
  <c r="R95" i="1" s="1"/>
  <c r="Z88" i="1"/>
  <c r="B9" i="30"/>
  <c r="A9" i="30" s="1"/>
  <c r="B9" i="27"/>
  <c r="A9" i="27" s="1"/>
  <c r="B6" i="25"/>
  <c r="A6" i="25" s="1"/>
  <c r="B5" i="27"/>
  <c r="A5" i="27" s="1"/>
  <c r="X105" i="1"/>
  <c r="T105" i="1"/>
  <c r="B7" i="23"/>
  <c r="A7" i="23" s="1"/>
  <c r="B6" i="23"/>
  <c r="A6" i="23" s="1"/>
  <c r="B7" i="27"/>
  <c r="A7" i="27" s="1"/>
  <c r="B8" i="32"/>
  <c r="A8" i="32" s="1"/>
  <c r="B6" i="27"/>
  <c r="A6" i="27" s="1"/>
  <c r="A66" i="28"/>
  <c r="B7" i="31"/>
  <c r="A7" i="31" s="1"/>
  <c r="B8" i="24"/>
  <c r="A8" i="24" s="1"/>
  <c r="B6" i="24"/>
  <c r="A6" i="24" s="1"/>
  <c r="N92" i="1"/>
  <c r="G43" i="11" s="1"/>
  <c r="G44" i="11" s="1"/>
  <c r="Z90" i="1"/>
  <c r="T92" i="1"/>
  <c r="T93" i="1" s="1"/>
  <c r="H93" i="1"/>
  <c r="K56" i="24"/>
  <c r="K59" i="24" s="1"/>
  <c r="P93" i="1"/>
  <c r="G43" i="12"/>
  <c r="G44" i="12" s="1"/>
  <c r="K56" i="28"/>
  <c r="K59" i="28" s="1"/>
  <c r="K56" i="31"/>
  <c r="K59" i="31" s="1"/>
  <c r="V93" i="1"/>
  <c r="G43" i="15"/>
  <c r="F92" i="1"/>
  <c r="Z89" i="1"/>
  <c r="L93" i="1"/>
  <c r="B5" i="24"/>
  <c r="A5" i="24" s="1"/>
  <c r="B5" i="32"/>
  <c r="A5" i="32" s="1"/>
  <c r="B8" i="23"/>
  <c r="A8" i="23" s="1"/>
  <c r="E10" i="22"/>
  <c r="B5" i="33"/>
  <c r="B8" i="28"/>
  <c r="A8" i="28" s="1"/>
  <c r="X6" i="3"/>
  <c r="P31" i="1"/>
  <c r="AL6" i="3" s="1"/>
  <c r="P26" i="1"/>
  <c r="L31" i="1"/>
  <c r="AJ6" i="3" s="1"/>
  <c r="L26" i="1"/>
  <c r="V26" i="1"/>
  <c r="V31" i="1"/>
  <c r="AO6" i="3" s="1"/>
  <c r="Y6" i="3"/>
  <c r="N31" i="1"/>
  <c r="AK6" i="3" s="1"/>
  <c r="X31" i="1"/>
  <c r="AP6" i="3" s="1"/>
  <c r="N26" i="1"/>
  <c r="T31" i="1"/>
  <c r="AN6" i="3" s="1"/>
  <c r="Z24" i="1"/>
  <c r="R31" i="1"/>
  <c r="AM6" i="3" s="1"/>
  <c r="AC6" i="3"/>
  <c r="J26" i="1"/>
  <c r="Y4" i="3"/>
  <c r="Z4" i="3"/>
  <c r="L29" i="1"/>
  <c r="AJ4" i="3" s="1"/>
  <c r="R26" i="1"/>
  <c r="X4" i="3"/>
  <c r="X29" i="1"/>
  <c r="AB4" i="3"/>
  <c r="AA4" i="3"/>
  <c r="R29" i="1"/>
  <c r="X26" i="1"/>
  <c r="P29" i="1"/>
  <c r="AL4" i="3" s="1"/>
  <c r="F29" i="1"/>
  <c r="AG4" i="3" s="1"/>
  <c r="F26" i="1"/>
  <c r="H26" i="1"/>
  <c r="T26" i="1"/>
  <c r="N29" i="1"/>
  <c r="AK4" i="3" s="1"/>
  <c r="Z22" i="1"/>
  <c r="T29" i="1"/>
  <c r="AN4" i="3" s="1"/>
  <c r="C47" i="11"/>
  <c r="A66" i="27"/>
  <c r="B7" i="26"/>
  <c r="A7" i="26" s="1"/>
  <c r="B7" i="24"/>
  <c r="A7" i="24" s="1"/>
  <c r="B5" i="29"/>
  <c r="A5" i="29" s="1"/>
  <c r="B22" i="33"/>
  <c r="B8" i="29"/>
  <c r="A8" i="29" s="1"/>
  <c r="B6" i="30"/>
  <c r="A6" i="30" s="1"/>
  <c r="B7" i="32"/>
  <c r="A7" i="32" s="1"/>
  <c r="B9" i="32"/>
  <c r="A9" i="32" s="1"/>
  <c r="G41" i="22"/>
  <c r="B9" i="29"/>
  <c r="A9" i="29" s="1"/>
  <c r="B8" i="31"/>
  <c r="A8" i="31" s="1"/>
  <c r="B7" i="28"/>
  <c r="A7" i="28" s="1"/>
  <c r="B9" i="25"/>
  <c r="A9" i="25" s="1"/>
  <c r="J33" i="1"/>
  <c r="H33" i="1"/>
  <c r="B10" i="22"/>
  <c r="B23" i="33"/>
  <c r="C34" i="22"/>
  <c r="K46" i="28"/>
  <c r="B13" i="33"/>
  <c r="B5" i="26"/>
  <c r="A5" i="26" s="1"/>
  <c r="D10" i="22"/>
  <c r="D8" i="26"/>
  <c r="E8" i="26"/>
  <c r="B12" i="33"/>
  <c r="K46" i="23"/>
  <c r="B24" i="33"/>
  <c r="C32" i="22"/>
  <c r="G39" i="22"/>
  <c r="K46" i="30"/>
  <c r="G44" i="8"/>
  <c r="B5" i="30"/>
  <c r="A5" i="30" s="1"/>
  <c r="B9" i="26"/>
  <c r="A9" i="26" s="1"/>
  <c r="G18" i="16"/>
  <c r="G10" i="22"/>
  <c r="B5" i="25"/>
  <c r="A5" i="25" s="1"/>
  <c r="B21" i="33"/>
  <c r="B20" i="33"/>
  <c r="K46" i="24"/>
  <c r="E7" i="25"/>
  <c r="D7" i="25"/>
  <c r="B6" i="32"/>
  <c r="A6" i="32" s="1"/>
  <c r="K46" i="26"/>
  <c r="B14" i="33"/>
  <c r="E8" i="30"/>
  <c r="D8" i="30"/>
  <c r="G38" i="22"/>
  <c r="B5" i="31"/>
  <c r="A5" i="31" s="1"/>
  <c r="K46" i="25"/>
  <c r="K46" i="27"/>
  <c r="K46" i="31"/>
  <c r="B27" i="33"/>
  <c r="B6" i="31"/>
  <c r="A6" i="31" s="1"/>
  <c r="B15" i="33"/>
  <c r="C35" i="22"/>
  <c r="C33" i="22"/>
  <c r="B19" i="33"/>
  <c r="E9" i="31"/>
  <c r="D9" i="31"/>
  <c r="B25" i="33"/>
  <c r="K46" i="32"/>
  <c r="K46" i="29"/>
  <c r="G40" i="22"/>
  <c r="B16" i="33"/>
  <c r="B6" i="28"/>
  <c r="A6" i="28" s="1"/>
  <c r="B7" i="30"/>
  <c r="A7" i="30" s="1"/>
  <c r="F10" i="22"/>
  <c r="D6" i="26"/>
  <c r="E6" i="26"/>
  <c r="G44" i="15" l="1"/>
  <c r="C47" i="10"/>
  <c r="A66" i="29"/>
  <c r="C47" i="15"/>
  <c r="K56" i="29"/>
  <c r="K59" i="29" s="1"/>
  <c r="K56" i="25"/>
  <c r="K59" i="25" s="1"/>
  <c r="K62" i="25" s="1"/>
  <c r="I5" i="21"/>
  <c r="N95" i="1"/>
  <c r="K56" i="27"/>
  <c r="K59" i="27" s="1"/>
  <c r="K62" i="27" s="1"/>
  <c r="N93" i="1"/>
  <c r="L95" i="1"/>
  <c r="G43" i="10"/>
  <c r="G44" i="10" s="1"/>
  <c r="G43" i="13"/>
  <c r="G44" i="13" s="1"/>
  <c r="J95" i="1"/>
  <c r="J97" i="1" s="1"/>
  <c r="J99" i="1" s="1"/>
  <c r="G43" i="9"/>
  <c r="G44" i="9" s="1"/>
  <c r="R93" i="1"/>
  <c r="K56" i="26"/>
  <c r="K59" i="26" s="1"/>
  <c r="K62" i="26" s="1"/>
  <c r="K56" i="30"/>
  <c r="K59" i="30" s="1"/>
  <c r="K62" i="30" s="1"/>
  <c r="C47" i="14"/>
  <c r="A66" i="30"/>
  <c r="A66" i="32"/>
  <c r="C47" i="16"/>
  <c r="G43" i="14"/>
  <c r="G44" i="14" s="1"/>
  <c r="T95" i="1"/>
  <c r="F93" i="1"/>
  <c r="G43" i="7"/>
  <c r="K56" i="23"/>
  <c r="K59" i="23" s="1"/>
  <c r="Z92" i="1"/>
  <c r="B26" i="33" s="1"/>
  <c r="F95" i="1"/>
  <c r="B9" i="31"/>
  <c r="A9" i="31" s="1"/>
  <c r="X33" i="1"/>
  <c r="X34" i="1" s="1"/>
  <c r="V33" i="1"/>
  <c r="G19" i="15" s="1"/>
  <c r="G20" i="15" s="1"/>
  <c r="R33" i="1"/>
  <c r="G19" i="13" s="1"/>
  <c r="G20" i="13" s="1"/>
  <c r="Z31" i="1"/>
  <c r="L33" i="1"/>
  <c r="G19" i="10" s="1"/>
  <c r="G20" i="10" s="1"/>
  <c r="AP4" i="3"/>
  <c r="F33" i="1"/>
  <c r="F34" i="1" s="1"/>
  <c r="AM4" i="3"/>
  <c r="T33" i="1"/>
  <c r="G19" i="14" s="1"/>
  <c r="G20" i="14" s="1"/>
  <c r="Z26" i="1"/>
  <c r="G18" i="22" s="1"/>
  <c r="P33" i="1"/>
  <c r="G19" i="12" s="1"/>
  <c r="G20" i="12" s="1"/>
  <c r="G45" i="12" s="1"/>
  <c r="H97" i="1"/>
  <c r="H99" i="1" s="1"/>
  <c r="Z29" i="1"/>
  <c r="N33" i="1"/>
  <c r="N34" i="1" s="1"/>
  <c r="H101" i="1"/>
  <c r="H103" i="1" s="1"/>
  <c r="G19" i="9"/>
  <c r="G20" i="9" s="1"/>
  <c r="B8" i="30"/>
  <c r="A8" i="30" s="1"/>
  <c r="B7" i="25"/>
  <c r="A7" i="25" s="1"/>
  <c r="J34" i="1"/>
  <c r="B8" i="26"/>
  <c r="A8" i="26" s="1"/>
  <c r="J101" i="1"/>
  <c r="J103" i="1" s="1"/>
  <c r="K62" i="31"/>
  <c r="K62" i="29"/>
  <c r="G19" i="8"/>
  <c r="G20" i="8" s="1"/>
  <c r="G45" i="8" s="1"/>
  <c r="H34" i="1"/>
  <c r="K62" i="32"/>
  <c r="K62" i="24"/>
  <c r="B17" i="33"/>
  <c r="K62" i="28"/>
  <c r="B6" i="26"/>
  <c r="A6" i="26" s="1"/>
  <c r="G45" i="15" l="1"/>
  <c r="C18" i="33"/>
  <c r="Z93" i="1"/>
  <c r="G45" i="13"/>
  <c r="J5" i="21"/>
  <c r="K5" i="21" s="1"/>
  <c r="X101" i="1" s="1"/>
  <c r="X103" i="1" s="1"/>
  <c r="G45" i="10"/>
  <c r="G45" i="9"/>
  <c r="K62" i="23"/>
  <c r="G45" i="14"/>
  <c r="Z95" i="1"/>
  <c r="G43" i="22"/>
  <c r="G44" i="22" s="1"/>
  <c r="G44" i="7"/>
  <c r="V97" i="1"/>
  <c r="V99" i="1" s="1"/>
  <c r="V101" i="1"/>
  <c r="E47" i="15" s="1"/>
  <c r="V34" i="1"/>
  <c r="X97" i="1"/>
  <c r="X99" i="1" s="1"/>
  <c r="G19" i="16"/>
  <c r="G20" i="16" s="1"/>
  <c r="G45" i="16" s="1"/>
  <c r="R101" i="1"/>
  <c r="F66" i="29" s="1"/>
  <c r="K66" i="29" s="1"/>
  <c r="K70" i="29" s="1"/>
  <c r="K73" i="29" s="1"/>
  <c r="R97" i="1"/>
  <c r="R99" i="1" s="1"/>
  <c r="R34" i="1"/>
  <c r="L101" i="1"/>
  <c r="F66" i="26" s="1"/>
  <c r="K66" i="26" s="1"/>
  <c r="K70" i="26" s="1"/>
  <c r="K73" i="26" s="1"/>
  <c r="L34" i="1"/>
  <c r="L97" i="1"/>
  <c r="L99" i="1" s="1"/>
  <c r="F101" i="1"/>
  <c r="F103" i="1" s="1"/>
  <c r="B8" i="4" s="1"/>
  <c r="G19" i="7"/>
  <c r="G20" i="7" s="1"/>
  <c r="F97" i="1"/>
  <c r="F99" i="1" s="1"/>
  <c r="B7" i="4" s="1"/>
  <c r="T34" i="1"/>
  <c r="T101" i="1"/>
  <c r="E47" i="14" s="1"/>
  <c r="T97" i="1"/>
  <c r="T99" i="1" s="1"/>
  <c r="G19" i="11"/>
  <c r="G20" i="11" s="1"/>
  <c r="G45" i="11" s="1"/>
  <c r="Z33" i="1"/>
  <c r="G19" i="22" s="1"/>
  <c r="P34" i="1"/>
  <c r="P101" i="1"/>
  <c r="E47" i="12" s="1"/>
  <c r="F66" i="24"/>
  <c r="K66" i="24" s="1"/>
  <c r="K70" i="24" s="1"/>
  <c r="K73" i="24" s="1"/>
  <c r="E47" i="8"/>
  <c r="P97" i="1"/>
  <c r="P99" i="1" s="1"/>
  <c r="N101" i="1"/>
  <c r="E47" i="11" s="1"/>
  <c r="N97" i="1"/>
  <c r="N99" i="1" s="1"/>
  <c r="H109" i="1"/>
  <c r="G47" i="8" s="1"/>
  <c r="G48" i="8" s="1"/>
  <c r="G50" i="8" s="1"/>
  <c r="J109" i="1"/>
  <c r="G47" i="9" s="1"/>
  <c r="F66" i="25"/>
  <c r="K66" i="25" s="1"/>
  <c r="K70" i="25" s="1"/>
  <c r="K73" i="25" s="1"/>
  <c r="E47" i="9"/>
  <c r="G48" i="9" l="1"/>
  <c r="G50" i="9" s="1"/>
  <c r="G45" i="7"/>
  <c r="F66" i="31"/>
  <c r="K66" i="31" s="1"/>
  <c r="K70" i="31" s="1"/>
  <c r="K73" i="31" s="1"/>
  <c r="V103" i="1"/>
  <c r="V109" i="1"/>
  <c r="G47" i="15" s="1"/>
  <c r="G48" i="15" s="1"/>
  <c r="G50" i="15" s="1"/>
  <c r="F66" i="32"/>
  <c r="K66" i="32" s="1"/>
  <c r="K70" i="32" s="1"/>
  <c r="K73" i="32" s="1"/>
  <c r="E47" i="16"/>
  <c r="X109" i="1"/>
  <c r="G47" i="16" s="1"/>
  <c r="G48" i="16" s="1"/>
  <c r="G50" i="16" s="1"/>
  <c r="R109" i="1"/>
  <c r="R111" i="1" s="1"/>
  <c r="R114" i="1" s="1"/>
  <c r="R103" i="1"/>
  <c r="E47" i="10"/>
  <c r="L109" i="1"/>
  <c r="G47" i="10" s="1"/>
  <c r="G48" i="10" s="1"/>
  <c r="G50" i="10" s="1"/>
  <c r="L103" i="1"/>
  <c r="E47" i="13"/>
  <c r="F66" i="23"/>
  <c r="K66" i="23" s="1"/>
  <c r="K70" i="23" s="1"/>
  <c r="K73" i="23" s="1"/>
  <c r="F109" i="1"/>
  <c r="F111" i="1" s="1"/>
  <c r="E47" i="7"/>
  <c r="T109" i="1"/>
  <c r="G47" i="14" s="1"/>
  <c r="G48" i="14" s="1"/>
  <c r="G50" i="14" s="1"/>
  <c r="F66" i="30"/>
  <c r="K66" i="30" s="1"/>
  <c r="K70" i="30" s="1"/>
  <c r="K73" i="30" s="1"/>
  <c r="Z34" i="1"/>
  <c r="C6" i="33" s="1"/>
  <c r="T103" i="1"/>
  <c r="Z99" i="1"/>
  <c r="C7" i="4" s="1"/>
  <c r="P109" i="1"/>
  <c r="G47" i="12" s="1"/>
  <c r="G48" i="12" s="1"/>
  <c r="G50" i="12" s="1"/>
  <c r="P103" i="1"/>
  <c r="F66" i="28"/>
  <c r="K66" i="28" s="1"/>
  <c r="K70" i="28" s="1"/>
  <c r="K73" i="28" s="1"/>
  <c r="N103" i="1"/>
  <c r="N109" i="1"/>
  <c r="G47" i="11" s="1"/>
  <c r="G48" i="11" s="1"/>
  <c r="G50" i="11" s="1"/>
  <c r="F66" i="27"/>
  <c r="K66" i="27" s="1"/>
  <c r="K70" i="27" s="1"/>
  <c r="K73" i="27" s="1"/>
  <c r="H111" i="1"/>
  <c r="H114" i="1" s="1"/>
  <c r="J111" i="1"/>
  <c r="J114" i="1" s="1"/>
  <c r="V111" i="1" l="1"/>
  <c r="V114" i="1" s="1"/>
  <c r="X111" i="1"/>
  <c r="X114" i="1" s="1"/>
  <c r="L111" i="1"/>
  <c r="L114" i="1" s="1"/>
  <c r="G47" i="13"/>
  <c r="G48" i="13" s="1"/>
  <c r="G50" i="13" s="1"/>
  <c r="G47" i="7"/>
  <c r="G48" i="7" s="1"/>
  <c r="G50" i="7" s="1"/>
  <c r="B11" i="4"/>
  <c r="T111" i="1"/>
  <c r="T114" i="1" s="1"/>
  <c r="G20" i="22"/>
  <c r="C29" i="33"/>
  <c r="G45" i="22"/>
  <c r="Z103" i="1"/>
  <c r="C8" i="4" s="1"/>
  <c r="Z109" i="1"/>
  <c r="G47" i="22" s="1"/>
  <c r="P111" i="1"/>
  <c r="P114" i="1" s="1"/>
  <c r="N111" i="1"/>
  <c r="N114" i="1" s="1"/>
  <c r="B13" i="4"/>
  <c r="F114" i="1"/>
  <c r="B15" i="4" s="1"/>
  <c r="G48" i="22" l="1"/>
  <c r="C11" i="4"/>
  <c r="C30" i="33"/>
  <c r="Z111" i="1"/>
  <c r="C31" i="33" s="1"/>
  <c r="Z114" i="1"/>
  <c r="C15" i="4" s="1"/>
  <c r="G50" i="22" l="1"/>
  <c r="C13" i="4"/>
</calcChain>
</file>

<file path=xl/sharedStrings.xml><?xml version="1.0" encoding="utf-8"?>
<sst xmlns="http://schemas.openxmlformats.org/spreadsheetml/2006/main" count="2664" uniqueCount="449">
  <si>
    <t>PI:</t>
  </si>
  <si>
    <t>Title:</t>
  </si>
  <si>
    <t>Agency:</t>
  </si>
  <si>
    <t>Preparer:</t>
  </si>
  <si>
    <t>Project Start Date:</t>
  </si>
  <si>
    <t>Project End Date:</t>
  </si>
  <si>
    <t>Number of Periods:</t>
  </si>
  <si>
    <t>IDC Rate:</t>
  </si>
  <si>
    <t>IDC Type:</t>
  </si>
  <si>
    <t>Budget Prepared Date:</t>
  </si>
  <si>
    <t>Period</t>
  </si>
  <si>
    <t>Name</t>
  </si>
  <si>
    <t>Appt Type</t>
  </si>
  <si>
    <t>Level</t>
  </si>
  <si>
    <t>Type</t>
  </si>
  <si>
    <t>Destination</t>
  </si>
  <si>
    <t>Description</t>
  </si>
  <si>
    <t xml:space="preserve">Description </t>
  </si>
  <si>
    <t>IC Rate</t>
  </si>
  <si>
    <t>Graduate Student Fees</t>
  </si>
  <si>
    <t>Graduate Fee Override</t>
  </si>
  <si>
    <t>Total Other Direct Costs</t>
  </si>
  <si>
    <t>Direct Costs Base</t>
  </si>
  <si>
    <t>Direct Cost Override</t>
  </si>
  <si>
    <t>Indirect Cost Base</t>
  </si>
  <si>
    <t>Indirect Cost Base Override</t>
  </si>
  <si>
    <t>Non-Standard Indirect Costs</t>
  </si>
  <si>
    <t>Total Indirect Costs</t>
  </si>
  <si>
    <t>Total</t>
  </si>
  <si>
    <t>Permanent Equipment</t>
  </si>
  <si>
    <t>Participant Support</t>
  </si>
  <si>
    <t>Other Direct Costs</t>
  </si>
  <si>
    <t>Costs at Non-Std. Rates</t>
  </si>
  <si>
    <t>MTDC</t>
  </si>
  <si>
    <t>TDC</t>
  </si>
  <si>
    <t>TC</t>
  </si>
  <si>
    <t>--</t>
  </si>
  <si>
    <t>Basis/Type</t>
  </si>
  <si>
    <t>Rate (Month/Hour)</t>
  </si>
  <si>
    <t>Override</t>
  </si>
  <si>
    <t>Fringe %</t>
  </si>
  <si>
    <t>Total Salary</t>
  </si>
  <si>
    <t>Total Fringe</t>
  </si>
  <si>
    <t>Back to Budget</t>
  </si>
  <si>
    <t>Total Graduate Fees</t>
  </si>
  <si>
    <t>Other Direct Costs:</t>
  </si>
  <si>
    <t>Materials &amp; Supplies</t>
  </si>
  <si>
    <t>Publication Costs/Page Charges</t>
  </si>
  <si>
    <t>Consultant Services</t>
  </si>
  <si>
    <t>Computer (ADPE) Services</t>
  </si>
  <si>
    <t>Vendor Contract</t>
  </si>
  <si>
    <t>Other Rentals</t>
  </si>
  <si>
    <t>Other Maintenance Fees</t>
  </si>
  <si>
    <t>Other</t>
  </si>
  <si>
    <t>You must enable macros before using this workbook</t>
  </si>
  <si>
    <t>Base</t>
  </si>
  <si>
    <t>Subcontracts</t>
  </si>
  <si>
    <t>UC Multicampus</t>
  </si>
  <si>
    <t>Total Equipment</t>
  </si>
  <si>
    <t>Total Participant Support</t>
  </si>
  <si>
    <t>Total UC Multicampus</t>
  </si>
  <si>
    <t>Total Non-Std Costs</t>
  </si>
  <si>
    <t>Participant Support:</t>
  </si>
  <si>
    <t>Non-Std:</t>
  </si>
  <si>
    <t>REUs</t>
  </si>
  <si>
    <t>Fellowships</t>
  </si>
  <si>
    <t>Domestic Travel Information</t>
  </si>
  <si>
    <t>Foreign Travel Information</t>
  </si>
  <si>
    <t>Total Domestic Travel</t>
  </si>
  <si>
    <t>Total Foreign Travel</t>
  </si>
  <si>
    <t>Months/Time %</t>
  </si>
  <si>
    <t>Fringe Information</t>
  </si>
  <si>
    <t>Institution</t>
  </si>
  <si>
    <t>Multicampus PI</t>
  </si>
  <si>
    <t>Current Period</t>
  </si>
  <si>
    <t>Entire Project</t>
  </si>
  <si>
    <t>Sponsor Direct Costs:</t>
  </si>
  <si>
    <t>Base for F&amp;A Rate (1):</t>
  </si>
  <si>
    <t>Base for F&amp;A Rate (2):</t>
  </si>
  <si>
    <t>Base for F&amp;A Rate (3):</t>
  </si>
  <si>
    <t>Effective Rate:</t>
  </si>
  <si>
    <t>F&amp;A Rate (1):</t>
  </si>
  <si>
    <t>F&amp;A Rate (2):</t>
  </si>
  <si>
    <t>F&amp;A Rate (3):</t>
  </si>
  <si>
    <t>Indirect Costs (F&amp;A):</t>
  </si>
  <si>
    <t>Fee:</t>
  </si>
  <si>
    <t>Total Sponsor Proposed Costs:</t>
  </si>
  <si>
    <t>Total Institutional Costs:</t>
  </si>
  <si>
    <t>NSF Funded Person Months</t>
  </si>
  <si>
    <t>CAL</t>
  </si>
  <si>
    <t>ACAD</t>
  </si>
  <si>
    <t>SUM</t>
  </si>
  <si>
    <t>Funds</t>
  </si>
  <si>
    <t>1.</t>
  </si>
  <si>
    <t>2.</t>
  </si>
  <si>
    <t>3.</t>
  </si>
  <si>
    <t>4.</t>
  </si>
  <si>
    <t>5.</t>
  </si>
  <si>
    <t>6.</t>
  </si>
  <si>
    <t>7.</t>
  </si>
  <si>
    <t>Others (list individually on budget explanation page)</t>
  </si>
  <si>
    <t>A. Senior Personnel</t>
  </si>
  <si>
    <t>B. Other Personnel</t>
  </si>
  <si>
    <t>Post Doctoral Associates</t>
  </si>
  <si>
    <t>Other Professional (Technician, Programmer, etc)</t>
  </si>
  <si>
    <t>Graduate Students</t>
  </si>
  <si>
    <t>Undergraduate Students</t>
  </si>
  <si>
    <t>Secretarial-Clerical (if charged directly)</t>
  </si>
  <si>
    <t>Total Salaries and Wages (A+B)</t>
  </si>
  <si>
    <t>C. Fringe Benefits (If charged as direct costs)</t>
  </si>
  <si>
    <t>Total Salaries, Wages and Fringe Benefits (A+B+C)</t>
  </si>
  <si>
    <t>D. Equipment (list item and dollar amount for each item exceeding $5,000)</t>
  </si>
  <si>
    <t>E. Travel</t>
  </si>
  <si>
    <t>2. Foreign</t>
  </si>
  <si>
    <t>F. Participant Support</t>
  </si>
  <si>
    <t>1. Stipends</t>
  </si>
  <si>
    <t>2. Travel</t>
  </si>
  <si>
    <t>3. Subsistence</t>
  </si>
  <si>
    <t>4. Other</t>
  </si>
  <si>
    <t>G. Other Direct Costs</t>
  </si>
  <si>
    <t>1. Materials and Supplies</t>
  </si>
  <si>
    <t>2. Publication Costs/Documentation/Dissemination</t>
  </si>
  <si>
    <t>3. Consultant Services</t>
  </si>
  <si>
    <t>4. Computer Services</t>
  </si>
  <si>
    <t>5. Subawards</t>
  </si>
  <si>
    <t>6. Other</t>
  </si>
  <si>
    <t>H. Total Direct Costs (A through G)</t>
  </si>
  <si>
    <t>Total Other Direct Costs (G1 through G6)</t>
  </si>
  <si>
    <t>Total Senior Personnel (1 through 6)</t>
  </si>
  <si>
    <t>I. Indirect Costs (F&amp;A) (Specify Rate and Base)</t>
  </si>
  <si>
    <t>x</t>
  </si>
  <si>
    <t>J. Total Direct and Indirect Costs (H+I)</t>
  </si>
  <si>
    <t>L. Amount of this request (J or J-K)</t>
  </si>
  <si>
    <t>End Date:</t>
  </si>
  <si>
    <t>Start Date:</t>
  </si>
  <si>
    <t>Click here to add salary &amp; fringe information</t>
  </si>
  <si>
    <t>Total Amount Requested</t>
  </si>
  <si>
    <t>Total Cost Share</t>
  </si>
  <si>
    <t>Institutional Cost Sharing:</t>
  </si>
  <si>
    <t>Senior (Other)</t>
  </si>
  <si>
    <t>Professional (Other)</t>
  </si>
  <si>
    <t>Grad</t>
  </si>
  <si>
    <t>Undergrad</t>
  </si>
  <si>
    <t>Clerical</t>
  </si>
  <si>
    <t>Appt Type:</t>
  </si>
  <si>
    <t>ENGProjSciAssoc</t>
  </si>
  <si>
    <t>ENGProjSciAsst</t>
  </si>
  <si>
    <t>ENGProjSciFull</t>
  </si>
  <si>
    <t>GSR-Adv</t>
  </si>
  <si>
    <t>GSR-NonRes</t>
  </si>
  <si>
    <t>GSR-Res</t>
  </si>
  <si>
    <t>LICKASSOC</t>
  </si>
  <si>
    <t>LICKASST</t>
  </si>
  <si>
    <t>LICKFULL</t>
  </si>
  <si>
    <t>POSTDOC</t>
  </si>
  <si>
    <t>PROFASSOC</t>
  </si>
  <si>
    <t>PROFASST</t>
  </si>
  <si>
    <t>PROFFULL</t>
  </si>
  <si>
    <t>ProjSciAssoc</t>
  </si>
  <si>
    <t>ProjSciAsst</t>
  </si>
  <si>
    <t>ProjSciFull</t>
  </si>
  <si>
    <t>RESASSOC</t>
  </si>
  <si>
    <t>RESASST</t>
  </si>
  <si>
    <t>RESENGASSOC</t>
  </si>
  <si>
    <t>RESENGASST</t>
  </si>
  <si>
    <t>RESENGFULL</t>
  </si>
  <si>
    <t>RESFULL</t>
  </si>
  <si>
    <t>SPECASSOC</t>
  </si>
  <si>
    <t>SPECASST</t>
  </si>
  <si>
    <t>SPECFULL</t>
  </si>
  <si>
    <t>SPECJR</t>
  </si>
  <si>
    <t>STAFF</t>
  </si>
  <si>
    <t>Level:</t>
  </si>
  <si>
    <t>NA</t>
  </si>
  <si>
    <t>Basis/Type:</t>
  </si>
  <si>
    <t>Academic</t>
  </si>
  <si>
    <t>Summer</t>
  </si>
  <si>
    <t>Hourly</t>
  </si>
  <si>
    <t>End Salary &amp; Fringe</t>
  </si>
  <si>
    <t>Calendar(12)</t>
  </si>
  <si>
    <t>Division</t>
  </si>
  <si>
    <t>Department</t>
  </si>
  <si>
    <t>Starting Step</t>
  </si>
  <si>
    <t>Advanced to Candidacy Step</t>
  </si>
  <si>
    <t>Astronomy</t>
  </si>
  <si>
    <t>6/7</t>
  </si>
  <si>
    <t>Biology - MCD</t>
  </si>
  <si>
    <t>Biology - EEB</t>
  </si>
  <si>
    <t>PBSE / MSCB</t>
  </si>
  <si>
    <t>Chemistry</t>
  </si>
  <si>
    <t>Earth Sciences</t>
  </si>
  <si>
    <t>Math</t>
  </si>
  <si>
    <t>METX</t>
  </si>
  <si>
    <t>Ocean Sciences</t>
  </si>
  <si>
    <t>Physics</t>
  </si>
  <si>
    <t>Sci Comm</t>
  </si>
  <si>
    <t>Arts</t>
  </si>
  <si>
    <t>All</t>
  </si>
  <si>
    <t>4/5</t>
  </si>
  <si>
    <t>Humanities</t>
  </si>
  <si>
    <t>Social Sciences</t>
  </si>
  <si>
    <t>GSHIP/ Month</t>
  </si>
  <si>
    <t>Fees/ Month</t>
  </si>
  <si>
    <t>1. Domestic (Including U.S. Possessions)</t>
  </si>
  <si>
    <t># of People</t>
  </si>
  <si>
    <t>Tuition/ Month</t>
  </si>
  <si>
    <t>End Calculation</t>
  </si>
  <si>
    <t>UNDERGRAD</t>
  </si>
  <si>
    <t>GSR (Resident)</t>
  </si>
  <si>
    <t>GSR (Non-resident)</t>
  </si>
  <si>
    <t>Full Year</t>
  </si>
  <si>
    <t>Quick Reference Table</t>
  </si>
  <si>
    <t>Postdoc</t>
  </si>
  <si>
    <t>K. Small Business Fee</t>
  </si>
  <si>
    <t>ENTER</t>
  </si>
  <si>
    <t>PS Stipends</t>
  </si>
  <si>
    <t>PS Travel</t>
  </si>
  <si>
    <t>PS Subsistence</t>
  </si>
  <si>
    <t>PS Other</t>
  </si>
  <si>
    <t>Total Months Effort/Year</t>
  </si>
  <si>
    <t>Salary/Year</t>
  </si>
  <si>
    <t>Senior Person 2</t>
  </si>
  <si>
    <t>Senior Person 3</t>
  </si>
  <si>
    <t>Senior Person 4</t>
  </si>
  <si>
    <t>Senior Person 5</t>
  </si>
  <si>
    <t>Senior Person 1</t>
  </si>
  <si>
    <t>BUS/ECON/ENG PROFASSOC</t>
  </si>
  <si>
    <t>BUS/ECON/ENG PROFASST</t>
  </si>
  <si>
    <t>BUS/ECON/ENG PROFFULL</t>
  </si>
  <si>
    <t>COL Increase (initial/annual)</t>
  </si>
  <si>
    <t>Calendar(11)</t>
  </si>
  <si>
    <t>Total Salary and Fringe</t>
  </si>
  <si>
    <t>Select One</t>
  </si>
  <si>
    <t>Rate Override</t>
  </si>
  <si>
    <t>VISITING ACADEMIC</t>
  </si>
  <si>
    <t>GSHIP</t>
  </si>
  <si>
    <t>Graduate Student Health Insurance</t>
  </si>
  <si>
    <t>Fees</t>
  </si>
  <si>
    <t>Tuition (Resident)</t>
  </si>
  <si>
    <t>Tuition (Non Resident)</t>
  </si>
  <si>
    <t>Amount/ Month</t>
  </si>
  <si>
    <t>PBSci</t>
  </si>
  <si>
    <t>Engineering</t>
  </si>
  <si>
    <t>Project Location:</t>
  </si>
  <si>
    <t>Salary Information</t>
  </si>
  <si>
    <t>Location:</t>
  </si>
  <si>
    <t>On-Campus</t>
  </si>
  <si>
    <t>Off-Campus</t>
  </si>
  <si>
    <t>Please see Instructions tab for questions and for Quick Reference to GSR/Postdoc Salaries</t>
  </si>
  <si>
    <t>Budget Pointers</t>
  </si>
  <si>
    <t>General Usage</t>
  </si>
  <si>
    <t>• Only the purple cells can be edited or selected</t>
  </si>
  <si>
    <t>• The budget can only be used if macros are enabled</t>
  </si>
  <si>
    <t>• To add additional budget item lines, click on the button in the desired section</t>
  </si>
  <si>
    <t>• The budget automatically saves when closed</t>
  </si>
  <si>
    <t>• To start a new budget, download a fresh budget form from the OSP Cayuse website (http://officeofresearch.ucsc.edu/osp/cayuse/index.html)</t>
  </si>
  <si>
    <t>• This budget is only for requested sponsor funds; the cost share budget can be downloaded at (http://officeofresearch.ucsc.edu/osp/cayuse/index.html)</t>
  </si>
  <si>
    <t>• This budget must be reviewed and approved by your OSP Representative before it can be submitted to the sponsor or uploaded to Cayuse</t>
  </si>
  <si>
    <t>Project Information Section</t>
  </si>
  <si>
    <t>• Please enter as much information as possible</t>
  </si>
  <si>
    <t>• Selecting a Project Location will autofill the IDC Rate for estimation purposes.  The IDC rate can be overridden if the actual rate is known.</t>
  </si>
  <si>
    <t>• The number of Periods is defaulted to 5.  Please clear this cell and then enter the appropriate value to adjust the number of Budget Periods shown.</t>
  </si>
  <si>
    <t>• Dates for each Period only need to be entered if each Period Length is different than 1 Year</t>
  </si>
  <si>
    <t>Salary Information Section</t>
  </si>
  <si>
    <t>• Each line automatically defaults to one person, but this can be changed on the Salary &amp; Fringe tab (hyperlinked)</t>
  </si>
  <si>
    <t>• Hourly Salary Rate will automatically be multiplied by 174 to give Monthly Rate</t>
  </si>
  <si>
    <t>• For each person, enter all information on the budget page (including # months and % effort for each budget period) and then click on hyperlink to enter additional required information</t>
  </si>
  <si>
    <t>Cayuse Summary Budget</t>
  </si>
  <si>
    <t>• This information is only for OSP personnel to enter into Cayuse SP once the budget is finalized</t>
  </si>
  <si>
    <t>NSF Budget Year 10</t>
  </si>
  <si>
    <t>NSF Budget Year 9</t>
  </si>
  <si>
    <t>NSF Budget Year 8</t>
  </si>
  <si>
    <t>NSF Budget Year 7</t>
  </si>
  <si>
    <t>NSF Budget Year 6</t>
  </si>
  <si>
    <t>NSF Budget Year 5</t>
  </si>
  <si>
    <t>NSF Budget Year 4</t>
  </si>
  <si>
    <t>NSF Budget Year 3</t>
  </si>
  <si>
    <t>NSF Budget Year 2</t>
  </si>
  <si>
    <t>NSF Budget Year 1</t>
  </si>
  <si>
    <t>Cayuse Proposal Number:</t>
  </si>
  <si>
    <t>Revised Date:</t>
  </si>
  <si>
    <t>Total Project Amount</t>
  </si>
  <si>
    <t xml:space="preserve">NOTES: </t>
  </si>
  <si>
    <t>Domestic Travel</t>
  </si>
  <si>
    <t>Foreign Travel</t>
  </si>
  <si>
    <t>Equipment</t>
  </si>
  <si>
    <t xml:space="preserve">Total Direct Costs </t>
  </si>
  <si>
    <t>BME &amp; CBSE</t>
  </si>
  <si>
    <t>• The fringe rate can be overridden in the cell to the right of the fringe that is displayed (purple cell)</t>
  </si>
  <si>
    <t>• Monthly or Hourly Salary Rate can be overridden on the Salary &amp; Fringe tab (hyperlinked) in the cell to the right of the displayed rate (purple cell)</t>
  </si>
  <si>
    <t>• The Cost of Living increase is automatically set to 3% for year 1 and then all subsequent years. This can be changed if desired.</t>
  </si>
  <si>
    <t>Total Indirect Cost Base</t>
  </si>
  <si>
    <t>NSF Cumulative Budget</t>
  </si>
  <si>
    <t>NSF Layout:</t>
  </si>
  <si>
    <t>NSF Layout</t>
  </si>
  <si>
    <t>• At the bottom of the Budget tab there are buttons that will open tabs that show the budget years in NSF format</t>
  </si>
  <si>
    <t>Grants.gov Detailed Layout:</t>
  </si>
  <si>
    <t>A. Senior/Key Persons</t>
  </si>
  <si>
    <t>C. Equipment Description</t>
  </si>
  <si>
    <t>D. Travel</t>
  </si>
  <si>
    <t>E. Participant/Trainee Support Costs</t>
  </si>
  <si>
    <t>F. Other Direct Costs</t>
  </si>
  <si>
    <t>G. Direct Costs</t>
  </si>
  <si>
    <t>H. Indirect Costs</t>
  </si>
  <si>
    <t>I. Total Direct and Indirect Costs</t>
  </si>
  <si>
    <t>J. Fee</t>
  </si>
  <si>
    <t>Research &amp; Related Budget - Cumulative</t>
  </si>
  <si>
    <t>Section A, Senior/Key Person</t>
  </si>
  <si>
    <t>Section B, Other Personnel</t>
  </si>
  <si>
    <t>Total Number Other Personnel</t>
  </si>
  <si>
    <t>Total Salary, Wages and Fringe Benefits (A+B)</t>
  </si>
  <si>
    <t>Section C, Equipment</t>
  </si>
  <si>
    <t>Section D, Travel</t>
  </si>
  <si>
    <t>1. Domestic</t>
  </si>
  <si>
    <t>Section E, Participant/Trainee Support Costs</t>
  </si>
  <si>
    <t>1. Tuition/Fees/Health Insurance</t>
  </si>
  <si>
    <t>2. Stipends</t>
  </si>
  <si>
    <t>3. Travel</t>
  </si>
  <si>
    <t>4. Subsistence</t>
  </si>
  <si>
    <t>5. Other</t>
  </si>
  <si>
    <t>6. Number of Participants/Trainees</t>
  </si>
  <si>
    <t>Section F, Other Direct Costs</t>
  </si>
  <si>
    <t>2. Publication Costs</t>
  </si>
  <si>
    <t>4. ADP/Computer Services</t>
  </si>
  <si>
    <t>5. Subawards/Consortium/Contratual Costs</t>
  </si>
  <si>
    <t>6. Equipment or Facility Rental/User Fees</t>
  </si>
  <si>
    <t>7. Alterations and Renovations</t>
  </si>
  <si>
    <t>Section G, Direct Costs</t>
  </si>
  <si>
    <t>Section H, Indirect Costs</t>
  </si>
  <si>
    <t>Section I, Total Direct and Indirect Costs (G+H)</t>
  </si>
  <si>
    <t>Section J, Fee</t>
  </si>
  <si>
    <t>Totals ($)</t>
  </si>
  <si>
    <t>Cal. Salary</t>
  </si>
  <si>
    <t>Acad. Salary</t>
  </si>
  <si>
    <t>Sum. Salary</t>
  </si>
  <si>
    <t>Cal. Mons</t>
  </si>
  <si>
    <t>Acad. Mons</t>
  </si>
  <si>
    <t>Sum. Mons</t>
  </si>
  <si>
    <t>Requested Salary</t>
  </si>
  <si>
    <t>Fringe Benefits</t>
  </si>
  <si>
    <t>Funds Req.</t>
  </si>
  <si>
    <t>Number of Personnel</t>
  </si>
  <si>
    <t>Project Role</t>
  </si>
  <si>
    <t>Cal. Months</t>
  </si>
  <si>
    <t>Acad. Months</t>
  </si>
  <si>
    <t>Sum. Months</t>
  </si>
  <si>
    <t>Funds Requested</t>
  </si>
  <si>
    <t>Research &amp; Related Budget Year 1</t>
  </si>
  <si>
    <t>Secretarial/Clerical</t>
  </si>
  <si>
    <t>Total Other Personnel</t>
  </si>
  <si>
    <t>Equipment Item</t>
  </si>
  <si>
    <t>1. Domestic Travel Costs (incl. Canada, Mexico and U.S. Possessions)</t>
  </si>
  <si>
    <t>2. Foreign Travel Costs</t>
  </si>
  <si>
    <t>Total Travel Cost</t>
  </si>
  <si>
    <t>Number of Participants/Trainees</t>
  </si>
  <si>
    <t>Total Participant Support/Trainee Support Costs</t>
  </si>
  <si>
    <t>Total Direct and Indirect Institutional Costs (G+H)</t>
  </si>
  <si>
    <t>Indirect Cost Rate (%)</t>
  </si>
  <si>
    <t>Indirect Cost Base ($)</t>
  </si>
  <si>
    <t>Total Direct Costs (A thru F)</t>
  </si>
  <si>
    <t>5. Subawards/Consortium/Contractual Costs</t>
  </si>
  <si>
    <t>Total Senior/Key Person</t>
  </si>
  <si>
    <t>Classification</t>
  </si>
  <si>
    <t>Base Salary*</t>
  </si>
  <si>
    <t>Alert:</t>
  </si>
  <si>
    <t>Fringe/Year</t>
  </si>
  <si>
    <t>Total Other Senior/Key Person**</t>
  </si>
  <si>
    <t>Undergraduate Students***</t>
  </si>
  <si>
    <t>**If there are more than 5 Senior Key people in the budget, they will have to be manually entered into the R&amp;R budget in Cayuse</t>
  </si>
  <si>
    <t>*Base salary is calculated per NIH guidelines. Please take a close look at the specific RFP to see how you should calculate the base salary</t>
  </si>
  <si>
    <t>Other 1</t>
  </si>
  <si>
    <t>Other 2</t>
  </si>
  <si>
    <t>Other 3</t>
  </si>
  <si>
    <t>Other 4</t>
  </si>
  <si>
    <t>Other 5</t>
  </si>
  <si>
    <t>Other 6</t>
  </si>
  <si>
    <t>Total Number Other Personnel****</t>
  </si>
  <si>
    <t>Classification:</t>
  </si>
  <si>
    <t xml:space="preserve">****Please keep in mind that the total number of Other Personnel doesn't take into account Grad or Undergrad students unless you add them or if there are more than 6 "Other" titles </t>
  </si>
  <si>
    <t>8. GSR Tuition/Fees</t>
  </si>
  <si>
    <t>9. Other</t>
  </si>
  <si>
    <t>Equipment or Facility Rental/User Fees</t>
  </si>
  <si>
    <t>Alterations and Renovations</t>
  </si>
  <si>
    <t>10.</t>
  </si>
  <si>
    <t>PS Tuition/Fees/Health Insurance</t>
  </si>
  <si>
    <t>***Undergrads will always show as calendar. If the effort should be in Academic and/or Summer, this will have to be manually entered into the R&amp;R budget in Cayuse</t>
  </si>
  <si>
    <t>Research &amp; Related Budget Year 10</t>
  </si>
  <si>
    <t>Research &amp; Related Budget Year 9</t>
  </si>
  <si>
    <t>Research &amp; Related Budget Year 8</t>
  </si>
  <si>
    <t>Research &amp; Related Budget Year 7</t>
  </si>
  <si>
    <t>Research &amp; Related Budget Year 6</t>
  </si>
  <si>
    <t>Research &amp; Related Budget Year 5</t>
  </si>
  <si>
    <t>Research &amp; Related Budget Year 4</t>
  </si>
  <si>
    <t>Research &amp; Related Budget Year 3</t>
  </si>
  <si>
    <t>Research &amp; Related Budget Year 2</t>
  </si>
  <si>
    <t>Grants.gov Detailed Budget Layout</t>
  </si>
  <si>
    <t>• At the bottom of the Budget tab there are buttons that will open tabs that show the budget years in Grants.gov detailed budget format (geared towards NIH, but can be used for others as well)</t>
  </si>
  <si>
    <t>UCSC Owned Space Rentals</t>
  </si>
  <si>
    <t>Non-UCSC Owned Space Rentals</t>
  </si>
  <si>
    <t>Capital Expenditures</t>
  </si>
  <si>
    <t>Scholarships/Fellowships</t>
  </si>
  <si>
    <t xml:space="preserve"> MCA Indirect Costs</t>
  </si>
  <si>
    <t>MCA Total</t>
  </si>
  <si>
    <t>MCA Indirect Costs</t>
  </si>
  <si>
    <t>MCA Direct Costs</t>
  </si>
  <si>
    <t xml:space="preserve"> MCA Direct Costs</t>
  </si>
  <si>
    <t>Initial</t>
  </si>
  <si>
    <t>Annual</t>
  </si>
  <si>
    <t>EMERITI</t>
  </si>
  <si>
    <t>Approximate cost per year (including average fringe rate)</t>
  </si>
  <si>
    <t>**Please note that this worksheet can't be used with Excel 2008 as macros are not supported in that version of Excel.</t>
  </si>
  <si>
    <t>Subrecipients</t>
  </si>
  <si>
    <t>Subrecipient PI</t>
  </si>
  <si>
    <t>Subrecipient Direct Costs</t>
  </si>
  <si>
    <t>Subrecipient Indirect Costs</t>
  </si>
  <si>
    <t>Subrecipient Total</t>
  </si>
  <si>
    <t>Total Subrecipients</t>
  </si>
  <si>
    <t>Total Other Direct Costs including GSR Fees, Subrecipients, and MCA's</t>
  </si>
  <si>
    <t>Service Agreement</t>
  </si>
  <si>
    <t>Tuition/Fees/GSHIP</t>
  </si>
  <si>
    <t>COL Increase</t>
  </si>
  <si>
    <t>Fixed Indirect Costs</t>
  </si>
  <si>
    <t>All except Linguistics</t>
  </si>
  <si>
    <t>Linguistics</t>
  </si>
  <si>
    <t>Total Graduate Student Compensation (includes salary, fringe and graduate fees)</t>
  </si>
  <si>
    <t>Approximate cost                          (including fringe/tuition/fees)</t>
  </si>
  <si>
    <t>All except BME &amp; CBSE</t>
  </si>
  <si>
    <t>6</t>
  </si>
  <si>
    <t>Funding Type:</t>
  </si>
  <si>
    <t>Federal</t>
  </si>
  <si>
    <t>Non-Federal</t>
  </si>
  <si>
    <t>FEDERAL SUMMER FRINGE</t>
  </si>
  <si>
    <t>FEDERAL ACADEMIC FRINGE</t>
  </si>
  <si>
    <t>FEDERAL CALENDAR FRINGE</t>
  </si>
  <si>
    <t>NON-FEDERAL SUMMER FRINGE</t>
  </si>
  <si>
    <t>NON-FEDERAL ACADEMIC FRINGE</t>
  </si>
  <si>
    <t>NON-FEDERAL CALENDAR FRINGE</t>
  </si>
  <si>
    <t>8</t>
  </si>
  <si>
    <t>Lecturer-PSOE</t>
  </si>
  <si>
    <t>Lecturer-SOE</t>
  </si>
  <si>
    <t>SRLecturer-SOE</t>
  </si>
  <si>
    <t>Lecturer-NoSOE</t>
  </si>
  <si>
    <t>BUS/ECON/ENG Lecturer-PSOE</t>
  </si>
  <si>
    <t>BUS/ECON/ENG SRLecturer-SOE</t>
  </si>
  <si>
    <t>BUS/ECON/ENG Lecturer-SOE</t>
  </si>
  <si>
    <t>Tuition (Non-Resident)</t>
  </si>
  <si>
    <t>UCSC Cost Share Budget</t>
  </si>
  <si>
    <t>FOAPAL/Notes</t>
  </si>
  <si>
    <t>**Revised 11/18/22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</si>
</sst>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64" formatCode="mm/dd/yy;@"/>
    <numFmt numFmtId="165" formatCode="&quot;$&quot;#,##0.00"/>
    <numFmt numFmtId="166" formatCode="&quot;$&quot;#,##0.00;[Red]&quot;$&quot;#,##0.00"/>
    <numFmt numFmtId="167" formatCode="&quot;$&quot;#,##0"/>
    <numFmt numFmtId="168" formatCode="0.0%"/>
    <numFmt numFmtId="169" formatCode=";;;"/>
    <numFmt numFmtId="170" formatCode="&quot;$&quot;#,##0;[Red]&quot;$&quot;#,##0"/>
    <numFmt numFmtId="171" formatCode="&quot;$&quot;#,##0.0"/>
  </numFmts>
  <fonts count="24" x14ac:knownFonts="1">
    <font>
      <sz val="12"/>
      <color theme="1"/>
      <name val="Calibri"/>
      <family val="2"/>
      <scheme val="minor"/>
    </font>
    <font>
      <sz val="12"/>
      <color theme="1"/>
      <name val="Calibri"/>
      <family val="2"/>
      <scheme val="minor"/>
    </font>
    <font>
      <u/>
      <sz val="12"/>
      <color theme="10"/>
      <name val="Calibri"/>
      <family val="2"/>
      <scheme val="minor"/>
    </font>
    <font>
      <u/>
      <sz val="12"/>
      <color theme="11"/>
      <name val="Calibri"/>
      <family val="2"/>
      <scheme val="minor"/>
    </font>
    <font>
      <sz val="12"/>
      <color rgb="FF000000"/>
      <name val="Calibri"/>
      <family val="2"/>
      <scheme val="minor"/>
    </font>
    <font>
      <b/>
      <sz val="18"/>
      <color theme="1"/>
      <name val="Calibri"/>
      <family val="2"/>
      <scheme val="minor"/>
    </font>
    <font>
      <b/>
      <sz val="12"/>
      <color theme="1"/>
      <name val="Calibri"/>
      <family val="2"/>
      <scheme val="minor"/>
    </font>
    <font>
      <b/>
      <sz val="12"/>
      <name val="Calibri"/>
      <family val="2"/>
      <scheme val="minor"/>
    </font>
    <font>
      <b/>
      <sz val="12"/>
      <color rgb="FF000000"/>
      <name val="Calibri"/>
      <family val="2"/>
      <scheme val="minor"/>
    </font>
    <font>
      <sz val="8"/>
      <name val="Calibri"/>
      <family val="2"/>
      <scheme val="minor"/>
    </font>
    <font>
      <sz val="12"/>
      <name val="Calibri"/>
      <family val="2"/>
      <scheme val="minor"/>
    </font>
    <font>
      <b/>
      <sz val="16"/>
      <color theme="1"/>
      <name val="Calibri"/>
      <family val="2"/>
      <scheme val="minor"/>
    </font>
    <font>
      <b/>
      <sz val="16"/>
      <name val="Calibri"/>
      <family val="2"/>
      <scheme val="minor"/>
    </font>
    <font>
      <b/>
      <sz val="16"/>
      <color rgb="FFFF0000"/>
      <name val="Calibri"/>
      <family val="2"/>
      <scheme val="minor"/>
    </font>
    <font>
      <b/>
      <sz val="11"/>
      <color theme="1"/>
      <name val="Calibri"/>
      <family val="2"/>
      <scheme val="minor"/>
    </font>
    <font>
      <b/>
      <sz val="14"/>
      <color theme="1"/>
      <name val="Calibri"/>
      <family val="2"/>
      <scheme val="minor"/>
    </font>
    <font>
      <sz val="12"/>
      <color rgb="FF0000FF"/>
      <name val="Calibri"/>
      <family val="2"/>
      <scheme val="minor"/>
    </font>
    <font>
      <b/>
      <sz val="22"/>
      <color theme="1"/>
      <name val="Calibri"/>
      <family val="2"/>
      <scheme val="minor"/>
    </font>
    <font>
      <b/>
      <sz val="14"/>
      <color rgb="FFFF0000"/>
      <name val="Calibri"/>
      <family val="2"/>
      <scheme val="minor"/>
    </font>
    <font>
      <b/>
      <u/>
      <sz val="12"/>
      <color rgb="FF000000"/>
      <name val="Calibri"/>
      <family val="2"/>
      <scheme val="minor"/>
    </font>
    <font>
      <sz val="11"/>
      <color theme="1"/>
      <name val="Calibri"/>
      <family val="2"/>
      <scheme val="minor"/>
    </font>
    <font>
      <b/>
      <sz val="11"/>
      <color rgb="FF000000"/>
      <name val="Calibri"/>
      <family val="2"/>
      <scheme val="minor"/>
    </font>
    <font>
      <i/>
      <sz val="12"/>
      <color rgb="FF000000"/>
      <name val="Calibri"/>
      <family val="2"/>
      <scheme val="minor"/>
    </font>
    <font>
      <b/>
      <sz val="16"/>
      <color rgb="FF000000"/>
      <name val="Calibri"/>
      <family val="2"/>
      <scheme val="minor"/>
    </font>
  </fonts>
  <fills count="14">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rgb="FFDCE6F1"/>
        <bgColor rgb="FF000000"/>
      </patternFill>
    </fill>
    <fill>
      <patternFill patternType="solid">
        <fgColor theme="0" tint="-0.249977111117893"/>
        <bgColor indexed="64"/>
      </patternFill>
    </fill>
    <fill>
      <patternFill patternType="solid">
        <fgColor theme="6" tint="0.79998168889431442"/>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rgb="FFFFFF00"/>
        <bgColor indexed="64"/>
      </patternFill>
    </fill>
    <fill>
      <patternFill patternType="solid">
        <fgColor rgb="FFB8CCE4"/>
        <bgColor rgb="FF000000"/>
      </patternFill>
    </fill>
    <fill>
      <patternFill patternType="solid">
        <fgColor rgb="FFBFBFBF"/>
        <bgColor rgb="FF000000"/>
      </patternFill>
    </fill>
    <fill>
      <patternFill patternType="solid">
        <fgColor rgb="FFE4DFEC"/>
        <bgColor rgb="FF000000"/>
      </patternFill>
    </fill>
  </fills>
  <borders count="5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style="thin">
        <color auto="1"/>
      </left>
      <right style="thin">
        <color auto="1"/>
      </right>
      <top/>
      <bottom/>
      <diagonal/>
    </border>
    <border>
      <left/>
      <right/>
      <top/>
      <bottom style="thin">
        <color auto="1"/>
      </bottom>
      <diagonal/>
    </border>
    <border>
      <left style="thin">
        <color auto="1"/>
      </left>
      <right/>
      <top/>
      <bottom style="thin">
        <color auto="1"/>
      </bottom>
      <diagonal/>
    </border>
    <border>
      <left/>
      <right style="thin">
        <color auto="1"/>
      </right>
      <top/>
      <bottom style="thin">
        <color auto="1"/>
      </bottom>
      <diagonal/>
    </border>
    <border>
      <left/>
      <right style="thin">
        <color auto="1"/>
      </right>
      <top/>
      <bottom/>
      <diagonal/>
    </border>
    <border>
      <left style="thin">
        <color auto="1"/>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style="medium">
        <color auto="1"/>
      </right>
      <top style="thin">
        <color auto="1"/>
      </top>
      <bottom style="thin">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diagonal/>
    </border>
    <border>
      <left style="medium">
        <color auto="1"/>
      </left>
      <right style="medium">
        <color auto="1"/>
      </right>
      <top/>
      <bottom style="thin">
        <color rgb="FF000000"/>
      </bottom>
      <diagonal/>
    </border>
    <border>
      <left style="medium">
        <color auto="1"/>
      </left>
      <right style="medium">
        <color auto="1"/>
      </right>
      <top style="thin">
        <color auto="1"/>
      </top>
      <bottom style="thin">
        <color auto="1"/>
      </bottom>
      <diagonal/>
    </border>
  </borders>
  <cellStyleXfs count="564">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9" fontId="1" fillId="0" borderId="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cellStyleXfs>
  <cellXfs count="608">
    <xf numFmtId="0" fontId="0" fillId="0" borderId="0" xfId="0"/>
    <xf numFmtId="0" fontId="0" fillId="0" borderId="0" xfId="0" applyAlignment="1">
      <alignment horizontal="left" vertical="center"/>
    </xf>
    <xf numFmtId="0" fontId="0" fillId="0" borderId="0" xfId="0" applyAlignment="1">
      <alignment horizontal="center" vertical="center"/>
    </xf>
    <xf numFmtId="0" fontId="0" fillId="0" borderId="0" xfId="0" applyAlignment="1">
      <alignment horizontal="center"/>
    </xf>
    <xf numFmtId="0" fontId="0" fillId="0" borderId="1" xfId="0" applyBorder="1"/>
    <xf numFmtId="0" fontId="0" fillId="0" borderId="0" xfId="0" applyBorder="1" applyAlignment="1"/>
    <xf numFmtId="0" fontId="0" fillId="0" borderId="0" xfId="0" quotePrefix="1"/>
    <xf numFmtId="0" fontId="0" fillId="0" borderId="1" xfId="0" applyBorder="1" applyAlignment="1">
      <alignment horizontal="left" vertical="center"/>
    </xf>
    <xf numFmtId="0" fontId="5" fillId="0" borderId="0" xfId="0" applyFont="1"/>
    <xf numFmtId="0" fontId="4" fillId="4" borderId="1" xfId="0" applyFont="1" applyFill="1" applyBorder="1" applyAlignment="1">
      <alignment horizontal="left" vertical="center"/>
    </xf>
    <xf numFmtId="0" fontId="0" fillId="3" borderId="1" xfId="0" applyFill="1" applyBorder="1" applyAlignment="1">
      <alignment horizontal="left" vertical="center"/>
    </xf>
    <xf numFmtId="0" fontId="0" fillId="5" borderId="8" xfId="0" applyFill="1" applyBorder="1"/>
    <xf numFmtId="0" fontId="0" fillId="5" borderId="13" xfId="0" applyFill="1" applyBorder="1"/>
    <xf numFmtId="0" fontId="0" fillId="5" borderId="12" xfId="0" applyFill="1" applyBorder="1"/>
    <xf numFmtId="165" fontId="0" fillId="5" borderId="0" xfId="0" applyNumberFormat="1" applyFill="1" applyAlignment="1">
      <alignment horizontal="center" vertical="center"/>
    </xf>
    <xf numFmtId="165" fontId="0" fillId="5" borderId="15" xfId="0" applyNumberFormat="1" applyFill="1" applyBorder="1" applyAlignment="1">
      <alignment horizontal="center" vertical="center"/>
    </xf>
    <xf numFmtId="0" fontId="0" fillId="0" borderId="1" xfId="0" applyBorder="1" applyAlignment="1">
      <alignment horizontal="center" vertical="center"/>
    </xf>
    <xf numFmtId="165" fontId="0" fillId="0" borderId="1" xfId="0" applyNumberFormat="1" applyBorder="1" applyAlignment="1">
      <alignment horizontal="center" vertical="center"/>
    </xf>
    <xf numFmtId="49" fontId="0" fillId="0" borderId="1" xfId="0" applyNumberFormat="1" applyBorder="1" applyAlignment="1">
      <alignment horizontal="center"/>
    </xf>
    <xf numFmtId="0" fontId="0" fillId="0" borderId="1" xfId="0" applyBorder="1" applyAlignment="1"/>
    <xf numFmtId="0" fontId="0" fillId="5" borderId="2" xfId="0" applyFill="1" applyBorder="1"/>
    <xf numFmtId="0" fontId="0" fillId="5" borderId="3" xfId="0" applyFill="1" applyBorder="1"/>
    <xf numFmtId="0" fontId="0" fillId="5" borderId="10" xfId="0" applyFill="1" applyBorder="1"/>
    <xf numFmtId="0" fontId="0" fillId="5" borderId="0" xfId="0" applyFill="1" applyBorder="1"/>
    <xf numFmtId="0" fontId="4" fillId="0" borderId="0" xfId="0" applyFont="1"/>
    <xf numFmtId="0" fontId="0" fillId="5" borderId="3" xfId="0" applyFill="1" applyBorder="1" applyAlignment="1">
      <alignment horizontal="right"/>
    </xf>
    <xf numFmtId="0" fontId="0" fillId="5" borderId="0" xfId="0" applyFill="1" applyBorder="1" applyAlignment="1">
      <alignment horizontal="right"/>
    </xf>
    <xf numFmtId="0" fontId="8" fillId="0" borderId="1" xfId="0" applyFont="1" applyBorder="1" applyAlignment="1">
      <alignment horizontal="center" vertical="center" wrapText="1"/>
    </xf>
    <xf numFmtId="0" fontId="8" fillId="0" borderId="9" xfId="0" applyFont="1" applyBorder="1" applyAlignment="1">
      <alignment horizontal="center" vertical="center" wrapText="1"/>
    </xf>
    <xf numFmtId="0" fontId="4" fillId="0" borderId="6" xfId="0" applyFont="1" applyBorder="1" applyAlignment="1">
      <alignment horizontal="left" vertical="center" wrapText="1"/>
    </xf>
    <xf numFmtId="0" fontId="4" fillId="0" borderId="14" xfId="0" applyFont="1" applyBorder="1" applyAlignment="1">
      <alignment horizontal="center" vertical="center" wrapText="1"/>
    </xf>
    <xf numFmtId="49" fontId="4" fillId="0" borderId="14" xfId="0" applyNumberFormat="1" applyFont="1" applyBorder="1" applyAlignment="1">
      <alignment horizontal="center" vertical="center" wrapText="1"/>
    </xf>
    <xf numFmtId="0" fontId="0" fillId="3" borderId="1" xfId="0" applyFill="1" applyBorder="1" applyAlignment="1">
      <alignment horizontal="center" vertical="center" wrapText="1"/>
    </xf>
    <xf numFmtId="0" fontId="4" fillId="4" borderId="1" xfId="0" applyFont="1" applyFill="1" applyBorder="1" applyAlignment="1">
      <alignment horizontal="center" vertical="center" wrapText="1"/>
    </xf>
    <xf numFmtId="165" fontId="0" fillId="0" borderId="0" xfId="0" applyNumberFormat="1" applyAlignment="1">
      <alignment horizontal="center"/>
    </xf>
    <xf numFmtId="0" fontId="0" fillId="0" borderId="1" xfId="0" applyNumberFormat="1" applyBorder="1" applyAlignment="1">
      <alignment horizontal="left" vertical="center"/>
    </xf>
    <xf numFmtId="10" fontId="0" fillId="0" borderId="0" xfId="0" applyNumberFormat="1" applyAlignment="1">
      <alignment horizontal="center"/>
    </xf>
    <xf numFmtId="0" fontId="0" fillId="0" borderId="1" xfId="0" applyBorder="1" applyAlignment="1">
      <alignment horizontal="center" vertical="center"/>
    </xf>
    <xf numFmtId="0" fontId="0" fillId="0" borderId="0" xfId="0" applyAlignment="1">
      <alignment horizontal="center" vertical="center" wrapText="1"/>
    </xf>
    <xf numFmtId="166" fontId="0" fillId="0" borderId="0" xfId="0" applyNumberFormat="1" applyAlignment="1">
      <alignment horizontal="center"/>
    </xf>
    <xf numFmtId="0" fontId="0" fillId="7" borderId="0" xfId="0" applyFill="1" applyAlignment="1">
      <alignment horizontal="center"/>
    </xf>
    <xf numFmtId="166" fontId="0" fillId="7" borderId="0" xfId="0" applyNumberFormat="1" applyFill="1" applyAlignment="1">
      <alignment horizontal="center"/>
    </xf>
    <xf numFmtId="0" fontId="0" fillId="8" borderId="0" xfId="0" applyFill="1" applyAlignment="1">
      <alignment horizontal="center"/>
    </xf>
    <xf numFmtId="167" fontId="0" fillId="0" borderId="1" xfId="0" applyNumberFormat="1" applyBorder="1" applyAlignment="1">
      <alignment horizontal="center" vertical="center"/>
    </xf>
    <xf numFmtId="167" fontId="0" fillId="0" borderId="1" xfId="0" applyNumberFormat="1" applyFill="1" applyBorder="1" applyAlignment="1">
      <alignment horizontal="center" vertical="center"/>
    </xf>
    <xf numFmtId="167" fontId="0" fillId="0" borderId="0" xfId="0" applyNumberFormat="1" applyAlignment="1">
      <alignment horizontal="center" vertical="center"/>
    </xf>
    <xf numFmtId="0" fontId="0" fillId="0" borderId="0" xfId="0" applyFill="1" applyAlignment="1">
      <alignment horizontal="center"/>
    </xf>
    <xf numFmtId="165" fontId="0" fillId="0" borderId="0" xfId="0" applyNumberFormat="1"/>
    <xf numFmtId="0" fontId="0" fillId="7" borderId="0" xfId="0" applyFill="1"/>
    <xf numFmtId="0" fontId="6" fillId="0" borderId="1" xfId="0" applyFont="1" applyBorder="1" applyAlignment="1">
      <alignment horizontal="center" wrapText="1"/>
    </xf>
    <xf numFmtId="0" fontId="0" fillId="0" borderId="0" xfId="0" applyBorder="1" applyAlignment="1">
      <alignment horizontal="center" vertical="center"/>
    </xf>
    <xf numFmtId="0" fontId="6" fillId="0" borderId="0" xfId="0" applyFont="1" applyFill="1" applyBorder="1" applyAlignment="1"/>
    <xf numFmtId="0" fontId="0" fillId="0" borderId="22" xfId="0" applyBorder="1" applyAlignment="1">
      <alignment horizontal="center"/>
    </xf>
    <xf numFmtId="0" fontId="0" fillId="0" borderId="23" xfId="0" applyBorder="1" applyAlignment="1">
      <alignment horizontal="center"/>
    </xf>
    <xf numFmtId="0" fontId="0" fillId="0" borderId="23" xfId="0" applyBorder="1" applyAlignment="1">
      <alignment horizontal="center" vertical="center"/>
    </xf>
    <xf numFmtId="0" fontId="0" fillId="0" borderId="24" xfId="0" applyBorder="1" applyAlignment="1">
      <alignment horizontal="center" vertical="center"/>
    </xf>
    <xf numFmtId="0" fontId="0" fillId="0" borderId="0" xfId="0" applyFill="1"/>
    <xf numFmtId="168" fontId="0" fillId="0" borderId="0" xfId="0" applyNumberFormat="1" applyAlignment="1">
      <alignment horizontal="right" vertical="center"/>
    </xf>
    <xf numFmtId="10" fontId="4" fillId="0" borderId="0" xfId="0" applyNumberFormat="1" applyFont="1" applyAlignment="1">
      <alignment horizontal="center"/>
    </xf>
    <xf numFmtId="0" fontId="0" fillId="0" borderId="0" xfId="0" applyBorder="1"/>
    <xf numFmtId="165" fontId="6" fillId="5" borderId="13" xfId="0" applyNumberFormat="1" applyFont="1" applyFill="1" applyBorder="1" applyAlignment="1">
      <alignment vertical="center"/>
    </xf>
    <xf numFmtId="165" fontId="6" fillId="5" borderId="12" xfId="0" applyNumberFormat="1" applyFont="1" applyFill="1" applyBorder="1" applyAlignment="1">
      <alignment vertical="center"/>
    </xf>
    <xf numFmtId="165" fontId="6" fillId="5" borderId="14" xfId="0" applyNumberFormat="1" applyFont="1" applyFill="1" applyBorder="1" applyAlignment="1">
      <alignment vertical="center"/>
    </xf>
    <xf numFmtId="165" fontId="0" fillId="5" borderId="13" xfId="0" applyNumberFormat="1" applyFill="1" applyBorder="1" applyAlignment="1">
      <alignment horizontal="center" vertical="center"/>
    </xf>
    <xf numFmtId="165" fontId="0" fillId="5" borderId="12" xfId="0" applyNumberFormat="1" applyFill="1" applyBorder="1" applyAlignment="1">
      <alignment horizontal="center" vertical="center"/>
    </xf>
    <xf numFmtId="165" fontId="0" fillId="5" borderId="14" xfId="0" applyNumberFormat="1" applyFill="1" applyBorder="1" applyAlignment="1">
      <alignment horizontal="center" vertical="center"/>
    </xf>
    <xf numFmtId="165" fontId="0" fillId="5" borderId="11" xfId="0" applyNumberFormat="1" applyFill="1" applyBorder="1" applyAlignment="1">
      <alignment horizontal="center" vertical="center"/>
    </xf>
    <xf numFmtId="0" fontId="0" fillId="0" borderId="1" xfId="0" applyBorder="1" applyAlignment="1">
      <alignment horizontal="center" vertical="center"/>
    </xf>
    <xf numFmtId="0" fontId="0" fillId="0" borderId="1" xfId="0" applyBorder="1"/>
    <xf numFmtId="0" fontId="0" fillId="0" borderId="0" xfId="0" applyAlignment="1">
      <alignment horizontal="center"/>
    </xf>
    <xf numFmtId="0" fontId="0" fillId="0" borderId="1" xfId="0" applyFill="1" applyBorder="1" applyAlignment="1">
      <alignment horizontal="center" vertical="center"/>
    </xf>
    <xf numFmtId="0" fontId="0" fillId="0" borderId="9" xfId="0" applyFill="1" applyBorder="1" applyAlignment="1">
      <alignment horizontal="center" vertical="center"/>
    </xf>
    <xf numFmtId="0" fontId="0" fillId="0" borderId="1" xfId="0" applyFill="1" applyBorder="1" applyAlignment="1">
      <alignment horizontal="center"/>
    </xf>
    <xf numFmtId="0" fontId="0" fillId="0" borderId="1" xfId="0" applyBorder="1"/>
    <xf numFmtId="0" fontId="0" fillId="0" borderId="1" xfId="0" applyBorder="1" applyAlignment="1">
      <alignment horizontal="center" vertical="center"/>
    </xf>
    <xf numFmtId="0" fontId="0" fillId="0" borderId="0" xfId="0" applyAlignment="1">
      <alignment horizontal="center"/>
    </xf>
    <xf numFmtId="0" fontId="0" fillId="0" borderId="7" xfId="0" applyFill="1" applyBorder="1" applyAlignment="1">
      <alignment horizontal="center"/>
    </xf>
    <xf numFmtId="165" fontId="4" fillId="0" borderId="0" xfId="0" applyNumberFormat="1" applyFont="1" applyAlignment="1">
      <alignment horizontal="center"/>
    </xf>
    <xf numFmtId="0" fontId="0" fillId="7" borderId="0" xfId="0" applyFill="1" applyAlignment="1" applyProtection="1">
      <alignment horizontal="center"/>
    </xf>
    <xf numFmtId="166" fontId="0" fillId="7" borderId="0" xfId="0" applyNumberFormat="1" applyFill="1" applyAlignment="1" applyProtection="1">
      <alignment horizontal="center"/>
    </xf>
    <xf numFmtId="0" fontId="0" fillId="9" borderId="1" xfId="0" applyFill="1" applyBorder="1" applyAlignment="1" applyProtection="1">
      <alignment horizontal="left" vertical="center"/>
      <protection locked="0"/>
    </xf>
    <xf numFmtId="0" fontId="0" fillId="9" borderId="1" xfId="0" applyNumberFormat="1" applyFill="1" applyBorder="1" applyAlignment="1" applyProtection="1">
      <alignment horizontal="center" vertical="center"/>
      <protection locked="0"/>
    </xf>
    <xf numFmtId="9" fontId="0" fillId="9" borderId="1" xfId="0" applyNumberFormat="1" applyFill="1" applyBorder="1" applyAlignment="1" applyProtection="1">
      <alignment horizontal="center" vertical="center"/>
      <protection locked="0"/>
    </xf>
    <xf numFmtId="168" fontId="0" fillId="9" borderId="1" xfId="230" applyNumberFormat="1" applyFont="1" applyFill="1" applyBorder="1" applyAlignment="1" applyProtection="1">
      <alignment horizontal="center"/>
      <protection locked="0"/>
    </xf>
    <xf numFmtId="0" fontId="0" fillId="9" borderId="0" xfId="0" applyFill="1" applyAlignment="1" applyProtection="1">
      <alignment horizontal="center"/>
      <protection locked="0"/>
    </xf>
    <xf numFmtId="10" fontId="0" fillId="0" borderId="1" xfId="0" applyNumberFormat="1" applyFill="1" applyBorder="1" applyAlignment="1">
      <alignment horizontal="center"/>
    </xf>
    <xf numFmtId="0" fontId="0" fillId="8" borderId="1" xfId="0" applyFill="1" applyBorder="1" applyAlignment="1">
      <alignment horizontal="center"/>
    </xf>
    <xf numFmtId="0" fontId="0" fillId="2" borderId="0" xfId="0" applyFill="1"/>
    <xf numFmtId="0" fontId="6" fillId="2" borderId="0" xfId="0" applyFont="1" applyFill="1" applyAlignment="1">
      <alignment horizontal="center"/>
    </xf>
    <xf numFmtId="0" fontId="0" fillId="3" borderId="1" xfId="0" applyFill="1" applyBorder="1"/>
    <xf numFmtId="0" fontId="6" fillId="3" borderId="1" xfId="0" applyFont="1" applyFill="1" applyBorder="1"/>
    <xf numFmtId="0" fontId="0" fillId="3" borderId="1" xfId="0" applyFont="1" applyFill="1" applyBorder="1"/>
    <xf numFmtId="0" fontId="0" fillId="0" borderId="0" xfId="0" applyAlignment="1">
      <alignment horizontal="center"/>
    </xf>
    <xf numFmtId="169" fontId="0" fillId="9" borderId="7" xfId="230" applyNumberFormat="1" applyFont="1" applyFill="1" applyBorder="1" applyAlignment="1" applyProtection="1">
      <alignment vertical="center"/>
      <protection locked="0" hidden="1"/>
    </xf>
    <xf numFmtId="9" fontId="0" fillId="9" borderId="1" xfId="230" applyFont="1" applyFill="1" applyBorder="1" applyAlignment="1" applyProtection="1">
      <alignment horizontal="center" vertical="center"/>
      <protection locked="0"/>
    </xf>
    <xf numFmtId="0" fontId="0" fillId="0" borderId="0" xfId="0" applyAlignment="1">
      <alignment horizontal="center"/>
    </xf>
    <xf numFmtId="0" fontId="0" fillId="0" borderId="0" xfId="0" applyAlignment="1">
      <alignment horizontal="left"/>
    </xf>
    <xf numFmtId="0" fontId="0" fillId="0" borderId="0" xfId="0" applyAlignment="1">
      <alignment wrapText="1"/>
    </xf>
    <xf numFmtId="166" fontId="0" fillId="0" borderId="0" xfId="0" applyNumberFormat="1" applyAlignment="1">
      <alignment horizontal="center" wrapText="1"/>
    </xf>
    <xf numFmtId="10" fontId="0" fillId="0" borderId="0" xfId="0" applyNumberFormat="1" applyAlignment="1">
      <alignment horizontal="center" wrapText="1"/>
    </xf>
    <xf numFmtId="0" fontId="0" fillId="0" borderId="29" xfId="0" applyBorder="1" applyAlignment="1">
      <alignment wrapText="1"/>
    </xf>
    <xf numFmtId="0" fontId="0" fillId="0" borderId="32" xfId="0" applyBorder="1"/>
    <xf numFmtId="0" fontId="0" fillId="0" borderId="34" xfId="0" applyBorder="1"/>
    <xf numFmtId="167" fontId="0" fillId="0" borderId="7" xfId="0" applyNumberFormat="1" applyBorder="1" applyAlignment="1">
      <alignment horizontal="center" vertical="center"/>
    </xf>
    <xf numFmtId="167" fontId="0" fillId="0" borderId="20" xfId="0" applyNumberFormat="1" applyBorder="1" applyAlignment="1">
      <alignment horizontal="center" vertical="center"/>
    </xf>
    <xf numFmtId="167" fontId="0" fillId="0" borderId="6" xfId="0" applyNumberFormat="1" applyBorder="1" applyAlignment="1">
      <alignment horizontal="center" vertical="center"/>
    </xf>
    <xf numFmtId="167" fontId="0" fillId="0" borderId="16" xfId="0" applyNumberFormat="1" applyBorder="1" applyAlignment="1">
      <alignment horizontal="center" vertical="center"/>
    </xf>
    <xf numFmtId="0" fontId="6" fillId="2" borderId="27" xfId="0" applyFont="1" applyFill="1" applyBorder="1" applyAlignment="1">
      <alignment horizontal="center" wrapText="1"/>
    </xf>
    <xf numFmtId="167" fontId="0" fillId="2" borderId="27" xfId="0" applyNumberFormat="1" applyFill="1" applyBorder="1" applyAlignment="1">
      <alignment horizontal="center" vertical="center"/>
    </xf>
    <xf numFmtId="167" fontId="0" fillId="2" borderId="28" xfId="0" applyNumberFormat="1" applyFill="1" applyBorder="1" applyAlignment="1">
      <alignment horizontal="center" vertical="center"/>
    </xf>
    <xf numFmtId="167" fontId="0" fillId="0" borderId="27" xfId="0" applyNumberFormat="1" applyFill="1" applyBorder="1" applyAlignment="1">
      <alignment horizontal="center" vertical="center"/>
    </xf>
    <xf numFmtId="167" fontId="0" fillId="0" borderId="28" xfId="0" applyNumberFormat="1" applyFill="1" applyBorder="1" applyAlignment="1">
      <alignment horizontal="center" vertical="center"/>
    </xf>
    <xf numFmtId="0" fontId="0" fillId="2" borderId="1" xfId="0" applyFill="1" applyBorder="1" applyAlignment="1">
      <alignment horizontal="right" vertical="center"/>
    </xf>
    <xf numFmtId="0" fontId="0" fillId="0" borderId="0" xfId="0" applyBorder="1" applyAlignment="1">
      <alignment horizontal="right"/>
    </xf>
    <xf numFmtId="0" fontId="0" fillId="2" borderId="9" xfId="0" applyFill="1" applyBorder="1" applyAlignment="1">
      <alignment horizontal="right" vertical="center"/>
    </xf>
    <xf numFmtId="167" fontId="0" fillId="0" borderId="11" xfId="0" applyNumberFormat="1" applyBorder="1" applyAlignment="1">
      <alignment horizontal="center" vertical="center"/>
    </xf>
    <xf numFmtId="167" fontId="0" fillId="0" borderId="5" xfId="0" applyNumberFormat="1" applyBorder="1" applyAlignment="1">
      <alignment horizontal="center" vertical="center"/>
    </xf>
    <xf numFmtId="167" fontId="0" fillId="5" borderId="0" xfId="0" applyNumberFormat="1" applyFill="1" applyAlignment="1">
      <alignment horizontal="center" vertical="center"/>
    </xf>
    <xf numFmtId="167" fontId="0" fillId="5" borderId="15" xfId="0" applyNumberFormat="1" applyFill="1" applyBorder="1" applyAlignment="1">
      <alignment horizontal="center" vertical="center"/>
    </xf>
    <xf numFmtId="167" fontId="6" fillId="5" borderId="15" xfId="0" applyNumberFormat="1" applyFont="1" applyFill="1" applyBorder="1" applyAlignment="1">
      <alignment horizontal="center" vertical="center"/>
    </xf>
    <xf numFmtId="170" fontId="0" fillId="0" borderId="0" xfId="0" applyNumberFormat="1" applyAlignment="1">
      <alignment horizontal="center"/>
    </xf>
    <xf numFmtId="170" fontId="0" fillId="7" borderId="0" xfId="0" applyNumberFormat="1" applyFill="1" applyAlignment="1" applyProtection="1">
      <alignment horizontal="center"/>
    </xf>
    <xf numFmtId="167" fontId="0" fillId="0" borderId="1" xfId="0" applyNumberFormat="1" applyBorder="1" applyAlignment="1">
      <alignment horizontal="center"/>
    </xf>
    <xf numFmtId="167" fontId="0" fillId="9" borderId="1" xfId="0" applyNumberFormat="1" applyFill="1" applyBorder="1" applyAlignment="1" applyProtection="1">
      <alignment horizontal="center"/>
      <protection locked="0"/>
    </xf>
    <xf numFmtId="0" fontId="13" fillId="0" borderId="0" xfId="0" applyFont="1" applyAlignment="1">
      <alignment horizontal="left" vertical="center"/>
    </xf>
    <xf numFmtId="0" fontId="4" fillId="0" borderId="14" xfId="0" applyFont="1" applyBorder="1" applyAlignment="1">
      <alignment horizontal="left" vertical="center" wrapText="1"/>
    </xf>
    <xf numFmtId="0" fontId="6" fillId="0" borderId="0" xfId="0" applyFont="1"/>
    <xf numFmtId="0" fontId="15" fillId="0" borderId="0" xfId="0" applyFont="1"/>
    <xf numFmtId="0" fontId="16" fillId="0" borderId="0" xfId="0" applyFont="1"/>
    <xf numFmtId="170" fontId="0" fillId="0" borderId="9" xfId="0" applyNumberFormat="1" applyFill="1" applyBorder="1" applyAlignment="1">
      <alignment horizontal="center" vertical="center"/>
    </xf>
    <xf numFmtId="170" fontId="0" fillId="0" borderId="1" xfId="0" applyNumberFormat="1" applyBorder="1" applyAlignment="1">
      <alignment horizontal="center" vertical="center"/>
    </xf>
    <xf numFmtId="170" fontId="0" fillId="5" borderId="9" xfId="0" applyNumberFormat="1" applyFill="1" applyBorder="1"/>
    <xf numFmtId="170" fontId="0" fillId="5" borderId="5" xfId="0" applyNumberFormat="1" applyFill="1" applyBorder="1"/>
    <xf numFmtId="170" fontId="0" fillId="5" borderId="11" xfId="0" applyNumberFormat="1" applyFill="1" applyBorder="1"/>
    <xf numFmtId="170" fontId="0" fillId="5" borderId="1" xfId="0" applyNumberFormat="1" applyFill="1" applyBorder="1" applyAlignment="1">
      <alignment horizontal="center" vertical="center"/>
    </xf>
    <xf numFmtId="170" fontId="0" fillId="5" borderId="1" xfId="0" applyNumberFormat="1" applyFill="1" applyBorder="1"/>
    <xf numFmtId="170" fontId="0" fillId="5" borderId="15" xfId="0" applyNumberFormat="1" applyFill="1" applyBorder="1"/>
    <xf numFmtId="170" fontId="0" fillId="5" borderId="14" xfId="0" applyNumberFormat="1" applyFill="1" applyBorder="1"/>
    <xf numFmtId="170" fontId="0" fillId="0" borderId="1" xfId="0" applyNumberFormat="1" applyFill="1" applyBorder="1" applyAlignment="1">
      <alignment horizontal="center" vertical="center"/>
    </xf>
    <xf numFmtId="0" fontId="0" fillId="9" borderId="1" xfId="0" applyFill="1" applyBorder="1" applyAlignment="1" applyProtection="1">
      <alignment horizontal="center"/>
      <protection locked="0"/>
    </xf>
    <xf numFmtId="0" fontId="0" fillId="0" borderId="0" xfId="0" applyAlignment="1">
      <alignment vertical="center"/>
    </xf>
    <xf numFmtId="170" fontId="0" fillId="9" borderId="1" xfId="0" applyNumberFormat="1" applyFill="1" applyBorder="1" applyAlignment="1" applyProtection="1">
      <alignment horizontal="center" vertical="center"/>
      <protection locked="0"/>
    </xf>
    <xf numFmtId="166" fontId="0" fillId="0" borderId="0" xfId="0" applyNumberFormat="1" applyFill="1" applyAlignment="1" applyProtection="1">
      <alignment horizontal="center"/>
    </xf>
    <xf numFmtId="166" fontId="0" fillId="9" borderId="0" xfId="0" applyNumberFormat="1" applyFill="1" applyAlignment="1" applyProtection="1">
      <alignment horizontal="center"/>
      <protection locked="0"/>
    </xf>
    <xf numFmtId="0" fontId="18" fillId="0" borderId="0" xfId="0" applyFont="1"/>
    <xf numFmtId="0" fontId="0" fillId="9" borderId="1" xfId="0" applyFill="1" applyBorder="1" applyAlignment="1" applyProtection="1">
      <alignment horizontal="left"/>
      <protection locked="0"/>
    </xf>
    <xf numFmtId="164" fontId="0" fillId="9" borderId="1" xfId="0" applyNumberFormat="1" applyFill="1" applyBorder="1" applyAlignment="1" applyProtection="1">
      <alignment horizontal="left"/>
      <protection locked="0"/>
    </xf>
    <xf numFmtId="0" fontId="0" fillId="0" borderId="0" xfId="0" applyAlignment="1">
      <alignment horizontal="center"/>
    </xf>
    <xf numFmtId="164" fontId="0" fillId="2" borderId="1" xfId="0" applyNumberFormat="1" applyFill="1" applyBorder="1" applyAlignment="1" applyProtection="1">
      <alignment horizontal="right"/>
    </xf>
    <xf numFmtId="167" fontId="0" fillId="0" borderId="1" xfId="0" applyNumberFormat="1" applyBorder="1" applyAlignment="1">
      <alignment horizontal="center" vertical="center"/>
    </xf>
    <xf numFmtId="167" fontId="0" fillId="0" borderId="1" xfId="0" applyNumberFormat="1" applyFont="1" applyFill="1" applyBorder="1" applyAlignment="1">
      <alignment horizontal="center" vertical="center"/>
    </xf>
    <xf numFmtId="167" fontId="6" fillId="0" borderId="1" xfId="0" applyNumberFormat="1" applyFont="1" applyBorder="1" applyAlignment="1">
      <alignment horizontal="center" vertical="center"/>
    </xf>
    <xf numFmtId="0" fontId="0" fillId="9" borderId="1" xfId="0" applyFill="1" applyBorder="1" applyAlignment="1" applyProtection="1">
      <alignment horizontal="left" vertical="center"/>
      <protection locked="0"/>
    </xf>
    <xf numFmtId="0" fontId="0" fillId="3" borderId="1" xfId="0" applyFill="1" applyBorder="1" applyAlignment="1">
      <alignment horizontal="left"/>
    </xf>
    <xf numFmtId="0" fontId="0" fillId="0" borderId="1" xfId="0" applyBorder="1" applyAlignment="1">
      <alignment horizontal="right" vertical="center"/>
    </xf>
    <xf numFmtId="167" fontId="0" fillId="0" borderId="6" xfId="0" applyNumberFormat="1" applyBorder="1" applyAlignment="1">
      <alignment horizontal="center" vertical="center"/>
    </xf>
    <xf numFmtId="10" fontId="0" fillId="0" borderId="7" xfId="0" applyNumberFormat="1" applyFill="1" applyBorder="1" applyAlignment="1" applyProtection="1">
      <alignment horizontal="center" vertical="center"/>
    </xf>
    <xf numFmtId="0" fontId="0" fillId="0" borderId="5" xfId="0" applyNumberFormat="1" applyBorder="1" applyAlignment="1">
      <alignment horizontal="left" vertical="center"/>
    </xf>
    <xf numFmtId="0" fontId="0" fillId="0" borderId="11" xfId="0" applyBorder="1" applyAlignment="1">
      <alignment horizontal="left" vertical="center"/>
    </xf>
    <xf numFmtId="0" fontId="0" fillId="3" borderId="1" xfId="0" applyFill="1" applyBorder="1" applyAlignment="1">
      <alignment horizontal="right"/>
    </xf>
    <xf numFmtId="167" fontId="6" fillId="0" borderId="42" xfId="0" applyNumberFormat="1" applyFont="1" applyBorder="1" applyAlignment="1">
      <alignment horizontal="center" vertical="center"/>
    </xf>
    <xf numFmtId="0" fontId="14" fillId="5" borderId="10" xfId="0" applyFont="1" applyFill="1" applyBorder="1" applyAlignment="1"/>
    <xf numFmtId="167" fontId="0" fillId="5" borderId="0" xfId="0" applyNumberFormat="1" applyFill="1" applyBorder="1" applyAlignment="1">
      <alignment horizontal="center"/>
    </xf>
    <xf numFmtId="167" fontId="0" fillId="0" borderId="42" xfId="0" applyNumberFormat="1" applyBorder="1" applyAlignment="1">
      <alignment horizontal="center" vertical="center"/>
    </xf>
    <xf numFmtId="164" fontId="0" fillId="9" borderId="7" xfId="0" applyNumberFormat="1" applyFill="1" applyBorder="1" applyAlignment="1" applyProtection="1">
      <alignment horizontal="left"/>
      <protection locked="0"/>
    </xf>
    <xf numFmtId="164" fontId="0" fillId="9" borderId="9" xfId="0" applyNumberFormat="1" applyFill="1" applyBorder="1" applyAlignment="1" applyProtection="1">
      <alignment horizontal="left"/>
      <protection locked="0"/>
    </xf>
    <xf numFmtId="167" fontId="6" fillId="0" borderId="1" xfId="0" applyNumberFormat="1" applyFont="1" applyFill="1" applyBorder="1" applyAlignment="1">
      <alignment horizontal="center" vertical="center"/>
    </xf>
    <xf numFmtId="0" fontId="0" fillId="3" borderId="1" xfId="0" applyFill="1" applyBorder="1" applyAlignment="1">
      <alignment horizontal="left"/>
    </xf>
    <xf numFmtId="0" fontId="0" fillId="5" borderId="15" xfId="0" applyFill="1" applyBorder="1"/>
    <xf numFmtId="167" fontId="0" fillId="5" borderId="11" xfId="0" applyNumberFormat="1" applyFill="1" applyBorder="1" applyAlignment="1">
      <alignment horizontal="center" vertical="center"/>
    </xf>
    <xf numFmtId="0" fontId="4" fillId="0" borderId="30" xfId="0" applyFont="1" applyBorder="1" applyAlignment="1">
      <alignment vertical="top"/>
    </xf>
    <xf numFmtId="0" fontId="0" fillId="0" borderId="30" xfId="0" applyBorder="1"/>
    <xf numFmtId="0" fontId="0" fillId="0" borderId="31" xfId="0" applyBorder="1"/>
    <xf numFmtId="0" fontId="19" fillId="0" borderId="29" xfId="0" applyFont="1" applyBorder="1" applyAlignment="1">
      <alignment horizontal="left" vertical="top"/>
    </xf>
    <xf numFmtId="165" fontId="6" fillId="5" borderId="10" xfId="0" applyNumberFormat="1" applyFont="1" applyFill="1" applyBorder="1" applyAlignment="1">
      <alignment vertical="center"/>
    </xf>
    <xf numFmtId="165" fontId="6" fillId="5" borderId="0" xfId="0" applyNumberFormat="1" applyFont="1" applyFill="1" applyBorder="1" applyAlignment="1">
      <alignment vertical="center"/>
    </xf>
    <xf numFmtId="165" fontId="6" fillId="5" borderId="15" xfId="0" applyNumberFormat="1" applyFont="1" applyFill="1" applyBorder="1" applyAlignment="1">
      <alignment vertical="center"/>
    </xf>
    <xf numFmtId="167" fontId="6" fillId="0" borderId="16" xfId="0" applyNumberFormat="1" applyFont="1" applyFill="1" applyBorder="1" applyAlignment="1">
      <alignment horizontal="center" vertical="center"/>
    </xf>
    <xf numFmtId="165" fontId="0" fillId="5" borderId="10" xfId="0" applyNumberFormat="1" applyFill="1" applyBorder="1" applyAlignment="1">
      <alignment horizontal="center" vertical="center"/>
    </xf>
    <xf numFmtId="165" fontId="0" fillId="5" borderId="0" xfId="0" applyNumberFormat="1" applyFill="1" applyBorder="1" applyAlignment="1">
      <alignment horizontal="center" vertical="center"/>
    </xf>
    <xf numFmtId="167" fontId="0" fillId="5" borderId="12" xfId="0" applyNumberFormat="1" applyFill="1" applyBorder="1" applyAlignment="1">
      <alignment horizontal="center" vertical="center"/>
    </xf>
    <xf numFmtId="167" fontId="0" fillId="5" borderId="14" xfId="0" applyNumberFormat="1" applyFill="1" applyBorder="1" applyAlignment="1">
      <alignment horizontal="center" vertical="center"/>
    </xf>
    <xf numFmtId="167" fontId="0" fillId="0" borderId="1" xfId="0" applyNumberFormat="1" applyFont="1" applyBorder="1" applyAlignment="1">
      <alignment horizontal="center" vertical="center"/>
    </xf>
    <xf numFmtId="171" fontId="0" fillId="5" borderId="0" xfId="0" applyNumberFormat="1" applyFill="1" applyBorder="1" applyAlignment="1"/>
    <xf numFmtId="0" fontId="0" fillId="5" borderId="0" xfId="0" applyFill="1" applyBorder="1" applyAlignment="1"/>
    <xf numFmtId="0" fontId="0" fillId="9" borderId="1" xfId="0" applyFill="1" applyBorder="1" applyAlignment="1" applyProtection="1">
      <alignment horizontal="center"/>
      <protection locked="0"/>
    </xf>
    <xf numFmtId="0" fontId="0" fillId="3" borderId="7" xfId="0" applyFill="1" applyBorder="1" applyAlignment="1">
      <alignment horizontal="left"/>
    </xf>
    <xf numFmtId="167" fontId="0" fillId="0" borderId="0" xfId="0" applyNumberFormat="1"/>
    <xf numFmtId="0" fontId="0" fillId="0" borderId="1" xfId="0" applyBorder="1" applyAlignment="1" applyProtection="1">
      <alignment horizontal="center" vertical="center"/>
    </xf>
    <xf numFmtId="49" fontId="0" fillId="0" borderId="1" xfId="0" applyNumberFormat="1" applyBorder="1" applyAlignment="1" applyProtection="1">
      <alignment horizontal="center"/>
    </xf>
    <xf numFmtId="0" fontId="0" fillId="0" borderId="1" xfId="0" applyFill="1" applyBorder="1" applyAlignment="1" applyProtection="1">
      <alignment horizontal="center"/>
    </xf>
    <xf numFmtId="167" fontId="0" fillId="0" borderId="1" xfId="0" applyNumberFormat="1" applyFill="1" applyBorder="1" applyAlignment="1" applyProtection="1">
      <alignment horizontal="center"/>
    </xf>
    <xf numFmtId="0" fontId="0" fillId="0" borderId="1" xfId="0" applyBorder="1" applyAlignment="1" applyProtection="1"/>
    <xf numFmtId="0" fontId="0" fillId="5" borderId="8" xfId="0" applyFill="1" applyBorder="1" applyProtection="1"/>
    <xf numFmtId="170" fontId="0" fillId="5" borderId="9" xfId="0" applyNumberFormat="1" applyFill="1" applyBorder="1" applyProtection="1"/>
    <xf numFmtId="0" fontId="0" fillId="0" borderId="1" xfId="0" applyBorder="1" applyProtection="1"/>
    <xf numFmtId="170" fontId="0" fillId="0" borderId="1" xfId="0" applyNumberFormat="1" applyBorder="1" applyAlignment="1" applyProtection="1">
      <alignment horizontal="center" vertical="center"/>
    </xf>
    <xf numFmtId="170" fontId="0" fillId="5" borderId="5" xfId="0" applyNumberFormat="1" applyFill="1" applyBorder="1" applyProtection="1"/>
    <xf numFmtId="170" fontId="0" fillId="5" borderId="11" xfId="0" applyNumberFormat="1" applyFill="1" applyBorder="1" applyProtection="1"/>
    <xf numFmtId="170" fontId="0" fillId="5" borderId="1" xfId="0" applyNumberFormat="1" applyFill="1" applyBorder="1" applyAlignment="1" applyProtection="1">
      <alignment horizontal="center" vertical="center"/>
    </xf>
    <xf numFmtId="170" fontId="0" fillId="5" borderId="1" xfId="0" applyNumberFormat="1" applyFill="1" applyBorder="1" applyProtection="1"/>
    <xf numFmtId="0" fontId="0" fillId="5" borderId="2" xfId="0" applyFill="1" applyBorder="1" applyProtection="1"/>
    <xf numFmtId="0" fontId="0" fillId="5" borderId="3" xfId="0" applyFill="1" applyBorder="1" applyProtection="1"/>
    <xf numFmtId="170" fontId="0" fillId="5" borderId="15" xfId="0" applyNumberFormat="1" applyFill="1" applyBorder="1" applyProtection="1"/>
    <xf numFmtId="0" fontId="0" fillId="5" borderId="10" xfId="0" applyFill="1" applyBorder="1" applyProtection="1"/>
    <xf numFmtId="0" fontId="0" fillId="5" borderId="0" xfId="0" applyFill="1" applyBorder="1" applyProtection="1"/>
    <xf numFmtId="0" fontId="0" fillId="5" borderId="13" xfId="0" applyFill="1" applyBorder="1" applyProtection="1"/>
    <xf numFmtId="0" fontId="0" fillId="5" borderId="12" xfId="0" applyFill="1" applyBorder="1" applyProtection="1"/>
    <xf numFmtId="170" fontId="0" fillId="5" borderId="14" xfId="0" applyNumberFormat="1" applyFill="1" applyBorder="1" applyProtection="1"/>
    <xf numFmtId="0" fontId="0" fillId="0" borderId="0" xfId="0" applyProtection="1"/>
    <xf numFmtId="168" fontId="0" fillId="0" borderId="0" xfId="0" applyNumberFormat="1" applyAlignment="1" applyProtection="1">
      <alignment horizontal="right" vertical="center"/>
    </xf>
    <xf numFmtId="0" fontId="0" fillId="0" borderId="0" xfId="0" applyAlignment="1" applyProtection="1">
      <alignment horizontal="center"/>
    </xf>
    <xf numFmtId="167" fontId="0" fillId="0" borderId="0" xfId="0" applyNumberFormat="1" applyAlignment="1" applyProtection="1">
      <alignment horizontal="center" vertical="center"/>
    </xf>
    <xf numFmtId="170" fontId="0" fillId="0" borderId="1" xfId="0" applyNumberFormat="1" applyFill="1" applyBorder="1" applyAlignment="1" applyProtection="1">
      <alignment horizontal="center" vertical="center"/>
    </xf>
    <xf numFmtId="0" fontId="0" fillId="0" borderId="44" xfId="0" applyBorder="1" applyAlignment="1">
      <alignment horizontal="left" vertical="center"/>
    </xf>
    <xf numFmtId="0" fontId="0" fillId="0" borderId="45" xfId="0" applyBorder="1" applyAlignment="1">
      <alignment horizontal="left" vertical="center"/>
    </xf>
    <xf numFmtId="0" fontId="6" fillId="0" borderId="0" xfId="0" applyFont="1" applyAlignment="1">
      <alignment horizontal="left" vertical="center"/>
    </xf>
    <xf numFmtId="0" fontId="20" fillId="0" borderId="0" xfId="0" applyFont="1"/>
    <xf numFmtId="0" fontId="14" fillId="0" borderId="0" xfId="0" applyFont="1"/>
    <xf numFmtId="167" fontId="0" fillId="0" borderId="0" xfId="0" applyNumberFormat="1" applyAlignment="1">
      <alignment horizontal="left" vertical="center"/>
    </xf>
    <xf numFmtId="0" fontId="20" fillId="0" borderId="0" xfId="0" applyFont="1" applyAlignment="1"/>
    <xf numFmtId="0" fontId="14" fillId="0" borderId="0" xfId="0" applyFont="1" applyAlignment="1"/>
    <xf numFmtId="0" fontId="20" fillId="0" borderId="1" xfId="0" applyFont="1" applyBorder="1"/>
    <xf numFmtId="0" fontId="14" fillId="0" borderId="1" xfId="0" applyFont="1" applyBorder="1" applyAlignment="1"/>
    <xf numFmtId="0" fontId="20" fillId="0" borderId="0" xfId="0" applyFont="1" applyBorder="1"/>
    <xf numFmtId="0" fontId="14" fillId="0" borderId="6" xfId="0" applyFont="1" applyBorder="1" applyAlignment="1">
      <alignment horizontal="right"/>
    </xf>
    <xf numFmtId="0" fontId="14" fillId="0" borderId="0" xfId="0" applyFont="1" applyBorder="1" applyAlignment="1">
      <alignment horizontal="right"/>
    </xf>
    <xf numFmtId="0" fontId="20" fillId="0" borderId="0" xfId="0" applyFont="1" applyBorder="1" applyAlignment="1">
      <alignment horizontal="center"/>
    </xf>
    <xf numFmtId="0" fontId="6" fillId="0" borderId="12" xfId="0" applyFont="1" applyBorder="1" applyAlignment="1"/>
    <xf numFmtId="0" fontId="6" fillId="0" borderId="14" xfId="0" applyFont="1" applyBorder="1" applyAlignment="1"/>
    <xf numFmtId="0" fontId="14" fillId="0" borderId="5" xfId="0" applyFont="1" applyBorder="1" applyAlignment="1">
      <alignment horizontal="center"/>
    </xf>
    <xf numFmtId="0" fontId="20" fillId="0" borderId="7" xfId="0" applyFont="1" applyBorder="1"/>
    <xf numFmtId="0" fontId="21" fillId="0" borderId="5" xfId="0" applyFont="1" applyBorder="1" applyAlignment="1">
      <alignment horizontal="center"/>
    </xf>
    <xf numFmtId="0" fontId="0" fillId="9" borderId="1" xfId="0" applyFill="1" applyBorder="1" applyAlignment="1" applyProtection="1">
      <alignment horizontal="center"/>
      <protection locked="0"/>
    </xf>
    <xf numFmtId="0" fontId="20" fillId="0" borderId="5" xfId="0" applyFont="1" applyBorder="1" applyAlignment="1">
      <alignment horizontal="center"/>
    </xf>
    <xf numFmtId="167" fontId="20" fillId="0" borderId="46" xfId="0" applyNumberFormat="1" applyFont="1" applyBorder="1" applyAlignment="1">
      <alignment horizontal="center"/>
    </xf>
    <xf numFmtId="167" fontId="20" fillId="0" borderId="5" xfId="0" applyNumberFormat="1" applyFont="1" applyBorder="1" applyAlignment="1">
      <alignment horizontal="center"/>
    </xf>
    <xf numFmtId="0" fontId="14" fillId="0" borderId="46" xfId="0" applyFont="1" applyBorder="1" applyAlignment="1">
      <alignment horizontal="center"/>
    </xf>
    <xf numFmtId="170" fontId="20" fillId="0" borderId="1" xfId="0" applyNumberFormat="1" applyFont="1" applyBorder="1" applyAlignment="1">
      <alignment horizontal="center" vertical="center"/>
    </xf>
    <xf numFmtId="0" fontId="20" fillId="0" borderId="1" xfId="0" applyFont="1" applyFill="1" applyBorder="1" applyAlignment="1">
      <alignment horizontal="center"/>
    </xf>
    <xf numFmtId="167" fontId="20" fillId="0" borderId="43" xfId="0" applyNumberFormat="1" applyFont="1" applyBorder="1" applyAlignment="1">
      <alignment horizontal="center"/>
    </xf>
    <xf numFmtId="167" fontId="20" fillId="0" borderId="0" xfId="0" applyNumberFormat="1" applyFont="1" applyBorder="1" applyAlignment="1">
      <alignment horizontal="center"/>
    </xf>
    <xf numFmtId="170" fontId="4" fillId="0" borderId="1" xfId="0" applyNumberFormat="1" applyFont="1" applyBorder="1" applyAlignment="1">
      <alignment horizontal="center" vertical="center"/>
    </xf>
    <xf numFmtId="0" fontId="20" fillId="9" borderId="1" xfId="0" applyFont="1" applyFill="1" applyBorder="1" applyAlignment="1" applyProtection="1">
      <alignment horizontal="center"/>
      <protection locked="0"/>
    </xf>
    <xf numFmtId="0" fontId="20" fillId="9" borderId="46" xfId="0" applyFont="1" applyFill="1" applyBorder="1" applyProtection="1">
      <protection locked="0"/>
    </xf>
    <xf numFmtId="167" fontId="20" fillId="9" borderId="46" xfId="0" applyNumberFormat="1" applyFont="1" applyFill="1" applyBorder="1" applyAlignment="1" applyProtection="1">
      <alignment horizontal="center"/>
      <protection locked="0"/>
    </xf>
    <xf numFmtId="0" fontId="0" fillId="0" borderId="0" xfId="0" applyAlignment="1">
      <alignment horizontal="center"/>
    </xf>
    <xf numFmtId="167" fontId="20" fillId="0" borderId="1" xfId="0" applyNumberFormat="1" applyFont="1" applyBorder="1" applyAlignment="1">
      <alignment horizontal="center"/>
    </xf>
    <xf numFmtId="0" fontId="14" fillId="0" borderId="1" xfId="0" applyFont="1" applyBorder="1" applyAlignment="1">
      <alignment horizontal="right"/>
    </xf>
    <xf numFmtId="0" fontId="14" fillId="0" borderId="1" xfId="0" applyFont="1" applyBorder="1" applyAlignment="1">
      <alignment horizontal="center"/>
    </xf>
    <xf numFmtId="0" fontId="14" fillId="0" borderId="1" xfId="0" applyFont="1" applyBorder="1" applyAlignment="1">
      <alignment horizontal="left"/>
    </xf>
    <xf numFmtId="0" fontId="20" fillId="0" borderId="1" xfId="0" applyFont="1" applyBorder="1" applyAlignment="1">
      <alignment horizontal="center"/>
    </xf>
    <xf numFmtId="0" fontId="20" fillId="0" borderId="0" xfId="0" applyFont="1" applyAlignment="1">
      <alignment horizontal="center"/>
    </xf>
    <xf numFmtId="167" fontId="20" fillId="0" borderId="1" xfId="0" applyNumberFormat="1" applyFont="1" applyBorder="1" applyAlignment="1">
      <alignment horizontal="center"/>
    </xf>
    <xf numFmtId="0" fontId="6" fillId="10" borderId="29" xfId="0" applyFont="1" applyFill="1" applyBorder="1"/>
    <xf numFmtId="0" fontId="0" fillId="10" borderId="30" xfId="0" applyFill="1" applyBorder="1"/>
    <xf numFmtId="0" fontId="0" fillId="10" borderId="31" xfId="0" applyFill="1" applyBorder="1" applyAlignment="1">
      <alignment horizontal="center"/>
    </xf>
    <xf numFmtId="0" fontId="0" fillId="10" borderId="32" xfId="0" applyFill="1" applyBorder="1"/>
    <xf numFmtId="0" fontId="0" fillId="10" borderId="0" xfId="0" applyFill="1" applyBorder="1"/>
    <xf numFmtId="0" fontId="0" fillId="10" borderId="33" xfId="0" applyFill="1" applyBorder="1" applyAlignment="1">
      <alignment horizontal="center"/>
    </xf>
    <xf numFmtId="0" fontId="0" fillId="10" borderId="34" xfId="0" applyFill="1" applyBorder="1"/>
    <xf numFmtId="0" fontId="0" fillId="10" borderId="35" xfId="0" applyFill="1" applyBorder="1"/>
    <xf numFmtId="0" fontId="0" fillId="10" borderId="36" xfId="0" applyFill="1" applyBorder="1" applyAlignment="1">
      <alignment horizontal="center"/>
    </xf>
    <xf numFmtId="167" fontId="0" fillId="0" borderId="46" xfId="0" applyNumberFormat="1" applyBorder="1" applyAlignment="1">
      <alignment horizontal="center" vertical="center"/>
    </xf>
    <xf numFmtId="3" fontId="0" fillId="0" borderId="46" xfId="0" applyNumberFormat="1" applyBorder="1" applyAlignment="1">
      <alignment horizontal="center" vertical="center"/>
    </xf>
    <xf numFmtId="0" fontId="6" fillId="0" borderId="0" xfId="0" applyFont="1" applyProtection="1"/>
    <xf numFmtId="0" fontId="14" fillId="0" borderId="1" xfId="0" applyFont="1" applyBorder="1" applyAlignment="1" applyProtection="1">
      <alignment horizontal="left"/>
    </xf>
    <xf numFmtId="0" fontId="14" fillId="0" borderId="1" xfId="0" applyFont="1" applyBorder="1" applyAlignment="1" applyProtection="1">
      <alignment horizontal="center"/>
    </xf>
    <xf numFmtId="0" fontId="14" fillId="0" borderId="0" xfId="0" applyFont="1" applyAlignment="1" applyProtection="1"/>
    <xf numFmtId="0" fontId="20" fillId="0" borderId="1" xfId="0" applyFont="1" applyBorder="1" applyProtection="1"/>
    <xf numFmtId="167" fontId="20" fillId="0" borderId="1" xfId="0" applyNumberFormat="1" applyFont="1" applyBorder="1" applyAlignment="1" applyProtection="1">
      <alignment horizontal="center"/>
    </xf>
    <xf numFmtId="0" fontId="20" fillId="0" borderId="1" xfId="0" applyFont="1" applyBorder="1" applyAlignment="1" applyProtection="1">
      <alignment horizontal="center"/>
    </xf>
    <xf numFmtId="0" fontId="20" fillId="0" borderId="0" xfId="0" applyFont="1" applyProtection="1"/>
    <xf numFmtId="0" fontId="20" fillId="0" borderId="0" xfId="0" applyFont="1" applyBorder="1" applyProtection="1"/>
    <xf numFmtId="167" fontId="20" fillId="0" borderId="0" xfId="0" applyNumberFormat="1" applyFont="1" applyBorder="1" applyAlignment="1" applyProtection="1">
      <alignment horizontal="center"/>
    </xf>
    <xf numFmtId="167" fontId="20" fillId="0" borderId="46" xfId="0" applyNumberFormat="1" applyFont="1" applyBorder="1" applyAlignment="1" applyProtection="1">
      <alignment horizontal="center"/>
    </xf>
    <xf numFmtId="0" fontId="14" fillId="0" borderId="1" xfId="0" applyFont="1" applyBorder="1" applyAlignment="1" applyProtection="1"/>
    <xf numFmtId="0" fontId="20" fillId="0" borderId="1" xfId="0" applyFont="1" applyFill="1" applyBorder="1" applyAlignment="1" applyProtection="1">
      <alignment horizontal="center"/>
    </xf>
    <xf numFmtId="0" fontId="20" fillId="0" borderId="5" xfId="0" applyFont="1" applyBorder="1" applyAlignment="1" applyProtection="1">
      <alignment horizontal="center"/>
    </xf>
    <xf numFmtId="0" fontId="14" fillId="0" borderId="46" xfId="0" applyFont="1" applyBorder="1" applyAlignment="1" applyProtection="1">
      <alignment horizontal="center"/>
    </xf>
    <xf numFmtId="0" fontId="14" fillId="0" borderId="0" xfId="0" applyFont="1" applyProtection="1"/>
    <xf numFmtId="167" fontId="20" fillId="0" borderId="43" xfId="0" applyNumberFormat="1" applyFont="1" applyBorder="1" applyAlignment="1" applyProtection="1">
      <alignment horizontal="center"/>
    </xf>
    <xf numFmtId="0" fontId="14" fillId="0" borderId="6" xfId="0" applyFont="1" applyBorder="1" applyAlignment="1" applyProtection="1">
      <alignment horizontal="right"/>
    </xf>
    <xf numFmtId="0" fontId="14" fillId="0" borderId="0" xfId="0" applyFont="1" applyBorder="1" applyAlignment="1" applyProtection="1">
      <alignment horizontal="right"/>
    </xf>
    <xf numFmtId="0" fontId="20" fillId="0" borderId="0" xfId="0" applyFont="1" applyBorder="1" applyAlignment="1" applyProtection="1">
      <alignment horizontal="center"/>
    </xf>
    <xf numFmtId="0" fontId="6" fillId="0" borderId="12" xfId="0" applyFont="1" applyBorder="1" applyAlignment="1" applyProtection="1"/>
    <xf numFmtId="0" fontId="6" fillId="0" borderId="14" xfId="0" applyFont="1" applyBorder="1" applyAlignment="1" applyProtection="1"/>
    <xf numFmtId="170" fontId="20" fillId="0" borderId="1" xfId="0" applyNumberFormat="1" applyFont="1" applyBorder="1" applyAlignment="1" applyProtection="1">
      <alignment horizontal="center" vertical="center"/>
    </xf>
    <xf numFmtId="0" fontId="14" fillId="0" borderId="1" xfId="0" applyFont="1" applyBorder="1" applyAlignment="1" applyProtection="1">
      <alignment horizontal="right"/>
    </xf>
    <xf numFmtId="0" fontId="20" fillId="0" borderId="0" xfId="0" applyFont="1" applyAlignment="1" applyProtection="1">
      <alignment horizontal="center"/>
    </xf>
    <xf numFmtId="167" fontId="20" fillId="0" borderId="5" xfId="0" applyNumberFormat="1" applyFont="1" applyBorder="1" applyAlignment="1" applyProtection="1">
      <alignment horizontal="center"/>
    </xf>
    <xf numFmtId="0" fontId="20" fillId="0" borderId="7" xfId="0" applyFont="1" applyBorder="1" applyProtection="1"/>
    <xf numFmtId="0" fontId="20" fillId="0" borderId="0" xfId="0" applyFont="1" applyAlignment="1" applyProtection="1"/>
    <xf numFmtId="0" fontId="14" fillId="0" borderId="5" xfId="0" applyFont="1" applyBorder="1" applyAlignment="1" applyProtection="1">
      <alignment horizontal="center"/>
    </xf>
    <xf numFmtId="170" fontId="4" fillId="0" borderId="1" xfId="0" applyNumberFormat="1" applyFont="1" applyBorder="1" applyAlignment="1" applyProtection="1">
      <alignment horizontal="center" vertical="center"/>
    </xf>
    <xf numFmtId="0" fontId="21" fillId="0" borderId="5" xfId="0" applyFont="1" applyBorder="1" applyAlignment="1" applyProtection="1">
      <alignment horizontal="center"/>
    </xf>
    <xf numFmtId="0" fontId="6" fillId="10" borderId="29" xfId="0" applyFont="1" applyFill="1" applyBorder="1" applyProtection="1"/>
    <xf numFmtId="0" fontId="0" fillId="10" borderId="30" xfId="0" applyFill="1" applyBorder="1" applyProtection="1"/>
    <xf numFmtId="0" fontId="0" fillId="10" borderId="31" xfId="0" applyFill="1" applyBorder="1" applyAlignment="1" applyProtection="1">
      <alignment horizontal="center"/>
    </xf>
    <xf numFmtId="0" fontId="0" fillId="10" borderId="32" xfId="0" applyFill="1" applyBorder="1" applyProtection="1"/>
    <xf numFmtId="0" fontId="0" fillId="10" borderId="0" xfId="0" applyFill="1" applyBorder="1" applyProtection="1"/>
    <xf numFmtId="0" fontId="0" fillId="10" borderId="33" xfId="0" applyFill="1" applyBorder="1" applyAlignment="1" applyProtection="1">
      <alignment horizontal="center"/>
    </xf>
    <xf numFmtId="0" fontId="0" fillId="10" borderId="34" xfId="0" applyFill="1" applyBorder="1" applyProtection="1"/>
    <xf numFmtId="0" fontId="0" fillId="10" borderId="35" xfId="0" applyFill="1" applyBorder="1" applyProtection="1"/>
    <xf numFmtId="0" fontId="0" fillId="10" borderId="36" xfId="0" applyFill="1" applyBorder="1" applyAlignment="1" applyProtection="1">
      <alignment horizontal="center"/>
    </xf>
    <xf numFmtId="0" fontId="4" fillId="0" borderId="0" xfId="0" applyFont="1" applyBorder="1" applyAlignment="1" applyProtection="1">
      <alignment horizontal="left" vertical="top" wrapText="1"/>
      <protection locked="0"/>
    </xf>
    <xf numFmtId="0" fontId="0" fillId="0" borderId="0" xfId="0" applyAlignment="1">
      <alignment horizontal="center"/>
    </xf>
    <xf numFmtId="165" fontId="0" fillId="0" borderId="0" xfId="0" applyNumberFormat="1" applyFill="1" applyAlignment="1">
      <alignment horizontal="center"/>
    </xf>
    <xf numFmtId="165" fontId="4" fillId="0" borderId="0" xfId="0" applyNumberFormat="1" applyFont="1" applyFill="1" applyAlignment="1">
      <alignment horizontal="center"/>
    </xf>
    <xf numFmtId="166" fontId="0" fillId="0" borderId="0" xfId="0" applyNumberFormat="1" applyFill="1" applyAlignment="1">
      <alignment horizontal="center"/>
    </xf>
    <xf numFmtId="166" fontId="0" fillId="0" borderId="31" xfId="0" applyNumberFormat="1" applyFill="1" applyBorder="1" applyAlignment="1">
      <alignment horizontal="center" wrapText="1"/>
    </xf>
    <xf numFmtId="166" fontId="0" fillId="0" borderId="0" xfId="0" applyNumberFormat="1" applyFill="1" applyAlignment="1">
      <alignment horizontal="center" wrapText="1"/>
    </xf>
    <xf numFmtId="166" fontId="0" fillId="0" borderId="33" xfId="0" applyNumberFormat="1" applyFill="1" applyBorder="1" applyAlignment="1">
      <alignment horizontal="center"/>
    </xf>
    <xf numFmtId="166" fontId="0" fillId="0" borderId="36" xfId="0" applyNumberFormat="1" applyFill="1" applyBorder="1" applyAlignment="1">
      <alignment horizontal="center"/>
    </xf>
    <xf numFmtId="10" fontId="0" fillId="0" borderId="0" xfId="0" applyNumberFormat="1" applyFill="1" applyAlignment="1">
      <alignment horizontal="center"/>
    </xf>
    <xf numFmtId="167" fontId="0" fillId="0" borderId="1" xfId="0" applyNumberFormat="1" applyBorder="1" applyAlignment="1">
      <alignment horizontal="center" vertical="center"/>
    </xf>
    <xf numFmtId="167" fontId="0" fillId="0" borderId="1" xfId="0" applyNumberFormat="1" applyFill="1" applyBorder="1" applyAlignment="1">
      <alignment horizontal="center" vertical="center"/>
    </xf>
    <xf numFmtId="0" fontId="0" fillId="9" borderId="1" xfId="0" applyFill="1" applyBorder="1" applyAlignment="1" applyProtection="1">
      <alignment horizontal="left" vertical="center"/>
      <protection locked="0"/>
    </xf>
    <xf numFmtId="167" fontId="0" fillId="0" borderId="11" xfId="0" applyNumberFormat="1" applyFill="1" applyBorder="1" applyAlignment="1">
      <alignment horizontal="center" vertical="center"/>
    </xf>
    <xf numFmtId="167" fontId="6" fillId="0" borderId="5" xfId="0" applyNumberFormat="1" applyFont="1" applyFill="1" applyBorder="1" applyAlignment="1">
      <alignment horizontal="center" vertical="center"/>
    </xf>
    <xf numFmtId="0" fontId="0" fillId="5" borderId="11" xfId="0" applyFont="1" applyFill="1" applyBorder="1" applyAlignment="1">
      <alignment vertical="center"/>
    </xf>
    <xf numFmtId="9" fontId="0" fillId="9" borderId="1" xfId="230" applyFont="1" applyFill="1" applyBorder="1" applyAlignment="1" applyProtection="1">
      <alignment horizontal="right" vertical="center"/>
      <protection locked="0"/>
    </xf>
    <xf numFmtId="9" fontId="0" fillId="9" borderId="6" xfId="230" applyFont="1" applyFill="1" applyBorder="1" applyAlignment="1" applyProtection="1">
      <alignment horizontal="right" vertical="center"/>
      <protection locked="0"/>
    </xf>
    <xf numFmtId="167" fontId="6" fillId="0" borderId="5" xfId="0" applyNumberFormat="1" applyFont="1" applyFill="1" applyBorder="1" applyAlignment="1">
      <alignment horizontal="center" vertical="center"/>
    </xf>
    <xf numFmtId="167" fontId="0" fillId="0" borderId="5" xfId="0" applyNumberFormat="1" applyBorder="1" applyAlignment="1">
      <alignment horizontal="center" vertical="center"/>
    </xf>
    <xf numFmtId="1" fontId="4" fillId="0" borderId="14" xfId="0" applyNumberFormat="1" applyFont="1" applyBorder="1" applyAlignment="1">
      <alignment horizontal="center" vertical="center" wrapText="1"/>
    </xf>
    <xf numFmtId="10" fontId="0" fillId="9" borderId="1" xfId="0" applyNumberFormat="1" applyFill="1" applyBorder="1" applyAlignment="1" applyProtection="1">
      <alignment horizontal="left"/>
      <protection locked="0"/>
    </xf>
    <xf numFmtId="0" fontId="0" fillId="9" borderId="1" xfId="0" applyFill="1" applyBorder="1" applyAlignment="1" applyProtection="1">
      <alignment horizontal="left"/>
      <protection locked="0"/>
    </xf>
    <xf numFmtId="0" fontId="4" fillId="13" borderId="50" xfId="0" applyFont="1" applyFill="1" applyBorder="1" applyAlignment="1" applyProtection="1">
      <alignment horizontal="center"/>
      <protection locked="0"/>
    </xf>
    <xf numFmtId="0" fontId="4" fillId="12" borderId="50" xfId="0" applyFont="1" applyFill="1" applyBorder="1" applyAlignment="1">
      <alignment horizontal="center"/>
    </xf>
    <xf numFmtId="0" fontId="4" fillId="12" borderId="44" xfId="0" applyFont="1" applyFill="1" applyBorder="1"/>
    <xf numFmtId="0" fontId="4" fillId="12" borderId="50" xfId="0" applyFont="1" applyFill="1" applyBorder="1"/>
    <xf numFmtId="0" fontId="4" fillId="12" borderId="44" xfId="0" applyFont="1" applyFill="1" applyBorder="1" applyAlignment="1" applyProtection="1">
      <alignment horizontal="center"/>
      <protection locked="0"/>
    </xf>
    <xf numFmtId="0" fontId="4" fillId="13" borderId="53" xfId="0" applyFont="1" applyFill="1" applyBorder="1" applyAlignment="1" applyProtection="1">
      <alignment horizontal="center"/>
      <protection locked="0"/>
    </xf>
    <xf numFmtId="0" fontId="4" fillId="12" borderId="45" xfId="0" applyFont="1" applyFill="1" applyBorder="1"/>
    <xf numFmtId="0" fontId="6" fillId="5" borderId="17" xfId="0" applyFont="1" applyFill="1" applyBorder="1" applyAlignment="1">
      <alignment horizontal="center" vertical="center"/>
    </xf>
    <xf numFmtId="0" fontId="6" fillId="5" borderId="18" xfId="0" applyFont="1" applyFill="1" applyBorder="1" applyAlignment="1">
      <alignment horizontal="center" vertical="center"/>
    </xf>
    <xf numFmtId="0" fontId="6" fillId="5" borderId="19" xfId="0" applyFont="1" applyFill="1" applyBorder="1" applyAlignment="1">
      <alignment horizontal="center" vertical="center"/>
    </xf>
    <xf numFmtId="0" fontId="6" fillId="0" borderId="37" xfId="0" applyFont="1" applyBorder="1" applyAlignment="1">
      <alignment horizontal="center" wrapText="1"/>
    </xf>
    <xf numFmtId="0" fontId="6" fillId="0" borderId="38" xfId="0" applyFont="1" applyBorder="1" applyAlignment="1">
      <alignment horizontal="center" wrapText="1"/>
    </xf>
    <xf numFmtId="0" fontId="6" fillId="0" borderId="39" xfId="0" applyFont="1" applyBorder="1" applyAlignment="1">
      <alignment horizontal="center" wrapText="1"/>
    </xf>
    <xf numFmtId="0" fontId="6" fillId="0" borderId="21" xfId="0" applyFont="1" applyBorder="1" applyAlignment="1">
      <alignment horizontal="center" vertical="center"/>
    </xf>
    <xf numFmtId="0" fontId="6" fillId="0" borderId="22" xfId="0" applyFont="1" applyBorder="1" applyAlignment="1">
      <alignment horizontal="center" vertical="center"/>
    </xf>
    <xf numFmtId="0" fontId="6" fillId="0" borderId="25" xfId="0" applyFont="1" applyBorder="1" applyAlignment="1">
      <alignment horizontal="center" vertical="center" wrapText="1"/>
    </xf>
    <xf numFmtId="0" fontId="6" fillId="0" borderId="26" xfId="0" applyFont="1" applyBorder="1" applyAlignment="1">
      <alignment horizontal="center" vertical="center" wrapText="1"/>
    </xf>
    <xf numFmtId="0" fontId="6" fillId="0" borderId="17" xfId="0" applyFont="1" applyFill="1" applyBorder="1" applyAlignment="1">
      <alignment horizontal="center" vertical="center"/>
    </xf>
    <xf numFmtId="0" fontId="6" fillId="0" borderId="18" xfId="0" applyFont="1" applyFill="1" applyBorder="1" applyAlignment="1">
      <alignment horizontal="center" vertical="center"/>
    </xf>
    <xf numFmtId="0" fontId="6" fillId="0" borderId="19" xfId="0" applyFont="1" applyFill="1" applyBorder="1" applyAlignment="1">
      <alignment horizontal="center" vertical="center"/>
    </xf>
    <xf numFmtId="0" fontId="23" fillId="11" borderId="43" xfId="0" applyFont="1" applyFill="1" applyBorder="1" applyAlignment="1">
      <alignment horizontal="center" vertical="center"/>
    </xf>
    <xf numFmtId="0" fontId="23" fillId="11" borderId="44" xfId="0" applyFont="1" applyFill="1" applyBorder="1" applyAlignment="1">
      <alignment horizontal="center" vertical="center"/>
    </xf>
    <xf numFmtId="0" fontId="23" fillId="11" borderId="50" xfId="0" applyFont="1" applyFill="1" applyBorder="1" applyAlignment="1">
      <alignment horizontal="center" vertical="center"/>
    </xf>
    <xf numFmtId="0" fontId="4" fillId="12" borderId="51" xfId="0" applyFont="1" applyFill="1" applyBorder="1" applyAlignment="1">
      <alignment horizontal="center"/>
    </xf>
    <xf numFmtId="0" fontId="4" fillId="12" borderId="52" xfId="0" applyFont="1" applyFill="1" applyBorder="1" applyAlignment="1">
      <alignment horizontal="center"/>
    </xf>
    <xf numFmtId="0" fontId="6" fillId="0" borderId="7" xfId="0" applyFont="1" applyFill="1" applyBorder="1" applyAlignment="1">
      <alignment horizontal="right" vertical="center"/>
    </xf>
    <xf numFmtId="0" fontId="6" fillId="0" borderId="8" xfId="0" applyFont="1" applyFill="1" applyBorder="1" applyAlignment="1">
      <alignment horizontal="right" vertical="center"/>
    </xf>
    <xf numFmtId="0" fontId="6" fillId="0" borderId="9" xfId="0" applyFont="1" applyFill="1" applyBorder="1" applyAlignment="1">
      <alignment horizontal="right" vertical="center"/>
    </xf>
    <xf numFmtId="167" fontId="6" fillId="0" borderId="1" xfId="0" applyNumberFormat="1" applyFont="1" applyFill="1" applyBorder="1" applyAlignment="1">
      <alignment horizontal="center" vertical="center"/>
    </xf>
    <xf numFmtId="167" fontId="0" fillId="0" borderId="1" xfId="0" applyNumberFormat="1" applyBorder="1" applyAlignment="1">
      <alignment horizontal="center" vertical="center"/>
    </xf>
    <xf numFmtId="167" fontId="0" fillId="0" borderId="1" xfId="0" applyNumberFormat="1" applyFont="1" applyFill="1" applyBorder="1" applyAlignment="1">
      <alignment horizontal="center" vertical="center"/>
    </xf>
    <xf numFmtId="10" fontId="0" fillId="9" borderId="1" xfId="0" applyNumberFormat="1" applyFont="1" applyFill="1" applyBorder="1" applyAlignment="1" applyProtection="1">
      <alignment horizontal="center" vertical="center"/>
      <protection locked="0"/>
    </xf>
    <xf numFmtId="167" fontId="0" fillId="9" borderId="1" xfId="0" applyNumberFormat="1" applyFill="1" applyBorder="1" applyAlignment="1" applyProtection="1">
      <alignment horizontal="center" vertical="center"/>
      <protection locked="0"/>
    </xf>
    <xf numFmtId="167" fontId="6" fillId="0" borderId="16" xfId="0" applyNumberFormat="1" applyFont="1" applyBorder="1" applyAlignment="1">
      <alignment horizontal="center" vertical="center"/>
    </xf>
    <xf numFmtId="167" fontId="6" fillId="0" borderId="16" xfId="0" applyNumberFormat="1" applyFont="1" applyFill="1" applyBorder="1" applyAlignment="1">
      <alignment horizontal="center" vertical="center"/>
    </xf>
    <xf numFmtId="0" fontId="0" fillId="0" borderId="1" xfId="0" applyFill="1" applyBorder="1" applyAlignment="1">
      <alignment horizontal="right"/>
    </xf>
    <xf numFmtId="0" fontId="11" fillId="2" borderId="7" xfId="0" applyFont="1" applyFill="1" applyBorder="1" applyAlignment="1">
      <alignment horizontal="left" vertical="center"/>
    </xf>
    <xf numFmtId="0" fontId="11" fillId="2" borderId="8" xfId="0" applyFont="1" applyFill="1" applyBorder="1" applyAlignment="1">
      <alignment horizontal="left" vertical="center"/>
    </xf>
    <xf numFmtId="0" fontId="11" fillId="2" borderId="9" xfId="0" applyFont="1" applyFill="1" applyBorder="1" applyAlignment="1">
      <alignment horizontal="left" vertical="center"/>
    </xf>
    <xf numFmtId="0" fontId="0" fillId="9" borderId="1" xfId="0" applyFill="1" applyBorder="1" applyAlignment="1" applyProtection="1">
      <alignment horizontal="left"/>
      <protection locked="0"/>
    </xf>
    <xf numFmtId="0" fontId="0" fillId="9" borderId="1" xfId="0" applyFill="1" applyBorder="1" applyAlignment="1" applyProtection="1">
      <alignment horizontal="left" vertical="center"/>
      <protection locked="0"/>
    </xf>
    <xf numFmtId="0" fontId="0" fillId="3" borderId="1" xfId="0" applyFill="1" applyBorder="1" applyAlignment="1">
      <alignment horizontal="center"/>
    </xf>
    <xf numFmtId="0" fontId="6" fillId="0" borderId="1" xfId="0" applyFont="1" applyBorder="1" applyAlignment="1">
      <alignment horizontal="right" vertical="center"/>
    </xf>
    <xf numFmtId="0" fontId="6" fillId="0" borderId="5" xfId="0" applyFont="1" applyBorder="1" applyAlignment="1">
      <alignment horizontal="right" vertical="center"/>
    </xf>
    <xf numFmtId="0" fontId="11" fillId="2" borderId="1" xfId="0" applyFont="1" applyFill="1" applyBorder="1" applyAlignment="1">
      <alignment horizontal="left" vertical="center"/>
    </xf>
    <xf numFmtId="0" fontId="6" fillId="0" borderId="13" xfId="0" applyFont="1" applyBorder="1" applyAlignment="1">
      <alignment horizontal="right" vertical="center"/>
    </xf>
    <xf numFmtId="0" fontId="6" fillId="0" borderId="8" xfId="0" applyFont="1" applyBorder="1" applyAlignment="1">
      <alignment horizontal="right" vertical="center"/>
    </xf>
    <xf numFmtId="0" fontId="6" fillId="0" borderId="9" xfId="0" applyFont="1" applyBorder="1" applyAlignment="1">
      <alignment horizontal="right" vertical="center"/>
    </xf>
    <xf numFmtId="0" fontId="0" fillId="3" borderId="7" xfId="0" applyFill="1" applyBorder="1" applyAlignment="1">
      <alignment horizontal="left"/>
    </xf>
    <xf numFmtId="0" fontId="0" fillId="3" borderId="8" xfId="0" applyFill="1" applyBorder="1" applyAlignment="1">
      <alignment horizontal="left"/>
    </xf>
    <xf numFmtId="0" fontId="0" fillId="3" borderId="1" xfId="0" applyFill="1" applyBorder="1" applyAlignment="1">
      <alignment horizontal="left"/>
    </xf>
    <xf numFmtId="167" fontId="6" fillId="0" borderId="41" xfId="0" applyNumberFormat="1" applyFont="1" applyBorder="1" applyAlignment="1">
      <alignment horizontal="center" vertical="center"/>
    </xf>
    <xf numFmtId="0" fontId="0" fillId="5" borderId="13" xfId="0" applyFill="1" applyBorder="1" applyAlignment="1">
      <alignment horizontal="right" vertical="center"/>
    </xf>
    <xf numFmtId="0" fontId="0" fillId="5" borderId="12" xfId="0" applyFill="1" applyBorder="1" applyAlignment="1">
      <alignment horizontal="right" vertical="center"/>
    </xf>
    <xf numFmtId="0" fontId="0" fillId="6" borderId="1" xfId="0" applyFill="1" applyBorder="1" applyAlignment="1">
      <alignment horizontal="right" vertical="center"/>
    </xf>
    <xf numFmtId="167" fontId="0" fillId="0" borderId="7" xfId="0" applyNumberFormat="1" applyBorder="1" applyAlignment="1">
      <alignment horizontal="center" vertical="center"/>
    </xf>
    <xf numFmtId="167" fontId="6" fillId="0" borderId="5" xfId="0" applyNumberFormat="1" applyFont="1" applyFill="1" applyBorder="1" applyAlignment="1">
      <alignment horizontal="center" vertical="center"/>
    </xf>
    <xf numFmtId="0" fontId="0" fillId="6" borderId="1" xfId="0" applyFont="1" applyFill="1" applyBorder="1" applyAlignment="1">
      <alignment horizontal="right" vertical="center"/>
    </xf>
    <xf numFmtId="167" fontId="0" fillId="0" borderId="1" xfId="0" applyNumberFormat="1" applyFill="1" applyBorder="1" applyAlignment="1">
      <alignment horizontal="center" vertical="center"/>
    </xf>
    <xf numFmtId="167" fontId="6" fillId="0" borderId="41" xfId="0" applyNumberFormat="1" applyFont="1" applyFill="1" applyBorder="1" applyAlignment="1">
      <alignment horizontal="center" vertical="center"/>
    </xf>
    <xf numFmtId="168" fontId="0" fillId="0" borderId="1" xfId="0" applyNumberFormat="1" applyFill="1" applyBorder="1" applyAlignment="1">
      <alignment horizontal="center" vertical="center"/>
    </xf>
    <xf numFmtId="167" fontId="0" fillId="0" borderId="5" xfId="0" applyNumberFormat="1" applyBorder="1" applyAlignment="1">
      <alignment horizontal="center" vertical="center"/>
    </xf>
    <xf numFmtId="0" fontId="0" fillId="5" borderId="11" xfId="0" applyFont="1" applyFill="1" applyBorder="1" applyAlignment="1">
      <alignment horizontal="right" vertical="center"/>
    </xf>
    <xf numFmtId="0" fontId="0" fillId="5" borderId="10" xfId="0" applyFont="1" applyFill="1" applyBorder="1" applyAlignment="1">
      <alignment horizontal="right" vertical="center"/>
    </xf>
    <xf numFmtId="0" fontId="0" fillId="5" borderId="13" xfId="0" applyFont="1" applyFill="1" applyBorder="1" applyAlignment="1">
      <alignment horizontal="right" vertical="center"/>
    </xf>
    <xf numFmtId="0" fontId="6" fillId="6" borderId="40" xfId="0" applyFont="1" applyFill="1" applyBorder="1" applyAlignment="1">
      <alignment horizontal="right" vertical="center"/>
    </xf>
    <xf numFmtId="0" fontId="6" fillId="6" borderId="41" xfId="0" applyFont="1" applyFill="1" applyBorder="1" applyAlignment="1">
      <alignment horizontal="right" vertical="center"/>
    </xf>
    <xf numFmtId="0" fontId="0" fillId="6" borderId="5" xfId="0" applyFill="1" applyBorder="1" applyAlignment="1">
      <alignment horizontal="right" vertical="center"/>
    </xf>
    <xf numFmtId="167" fontId="0" fillId="9" borderId="5" xfId="0" applyNumberFormat="1" applyFill="1" applyBorder="1" applyAlignment="1" applyProtection="1">
      <alignment horizontal="center" vertical="center"/>
      <protection locked="0"/>
    </xf>
    <xf numFmtId="167" fontId="0" fillId="5" borderId="0" xfId="0" applyNumberFormat="1" applyFill="1" applyBorder="1" applyAlignment="1">
      <alignment horizontal="center" vertical="center"/>
    </xf>
    <xf numFmtId="167" fontId="0" fillId="9" borderId="41" xfId="0" applyNumberFormat="1" applyFill="1" applyBorder="1" applyAlignment="1" applyProtection="1">
      <alignment horizontal="center" vertical="center"/>
      <protection locked="0"/>
    </xf>
    <xf numFmtId="0" fontId="0" fillId="3" borderId="1" xfId="0" applyFill="1" applyBorder="1" applyAlignment="1">
      <alignment horizontal="left" vertical="center"/>
    </xf>
    <xf numFmtId="165" fontId="0" fillId="9" borderId="1" xfId="0" applyNumberFormat="1" applyFill="1" applyBorder="1" applyAlignment="1" applyProtection="1">
      <alignment horizontal="left"/>
      <protection locked="0"/>
    </xf>
    <xf numFmtId="0" fontId="7" fillId="0" borderId="1" xfId="75" applyFont="1" applyBorder="1" applyAlignment="1">
      <alignment horizontal="right" vertical="center"/>
    </xf>
    <xf numFmtId="167" fontId="0" fillId="0" borderId="6" xfId="0" applyNumberFormat="1" applyBorder="1" applyAlignment="1">
      <alignment horizontal="center" vertical="center"/>
    </xf>
    <xf numFmtId="0" fontId="0" fillId="0" borderId="1" xfId="0" applyBorder="1" applyAlignment="1">
      <alignment horizontal="right" vertical="center"/>
    </xf>
    <xf numFmtId="0" fontId="0" fillId="0" borderId="1" xfId="0" applyBorder="1" applyAlignment="1">
      <alignment horizontal="left" vertical="center"/>
    </xf>
    <xf numFmtId="0" fontId="0" fillId="0" borderId="11" xfId="0" applyBorder="1" applyAlignment="1">
      <alignment horizontal="left" vertical="center"/>
    </xf>
    <xf numFmtId="10" fontId="0" fillId="9" borderId="9" xfId="0" applyNumberFormat="1" applyFont="1" applyFill="1" applyBorder="1" applyAlignment="1" applyProtection="1">
      <alignment horizontal="center" vertical="center"/>
      <protection locked="0"/>
    </xf>
    <xf numFmtId="0" fontId="0" fillId="0" borderId="1" xfId="0" applyNumberFormat="1" applyBorder="1" applyAlignment="1">
      <alignment horizontal="left" vertical="center"/>
    </xf>
    <xf numFmtId="0" fontId="0" fillId="0" borderId="5" xfId="0" applyNumberFormat="1" applyBorder="1" applyAlignment="1">
      <alignment horizontal="left" vertical="center"/>
    </xf>
    <xf numFmtId="164" fontId="0" fillId="9" borderId="1" xfId="0" applyNumberFormat="1" applyFill="1" applyBorder="1" applyAlignment="1" applyProtection="1">
      <alignment horizontal="center"/>
      <protection locked="0"/>
    </xf>
    <xf numFmtId="0" fontId="0" fillId="9" borderId="1" xfId="0" applyFill="1" applyBorder="1" applyAlignment="1" applyProtection="1">
      <alignment horizontal="center"/>
      <protection locked="0"/>
    </xf>
    <xf numFmtId="0" fontId="0" fillId="0" borderId="8" xfId="0" applyFill="1" applyBorder="1" applyAlignment="1">
      <alignment horizontal="right" vertical="center"/>
    </xf>
    <xf numFmtId="0" fontId="0" fillId="0" borderId="9" xfId="0" applyFill="1" applyBorder="1" applyAlignment="1">
      <alignment horizontal="right" vertical="center"/>
    </xf>
    <xf numFmtId="0" fontId="7" fillId="0" borderId="6" xfId="75" applyFont="1" applyBorder="1" applyAlignment="1">
      <alignment horizontal="right" vertical="center"/>
    </xf>
    <xf numFmtId="0" fontId="10" fillId="9" borderId="1" xfId="0" applyFont="1" applyFill="1" applyBorder="1" applyAlignment="1" applyProtection="1">
      <alignment horizontal="left"/>
      <protection locked="0"/>
    </xf>
    <xf numFmtId="0" fontId="0" fillId="9" borderId="7" xfId="0" applyFill="1" applyBorder="1" applyAlignment="1" applyProtection="1">
      <alignment horizontal="left"/>
      <protection locked="0"/>
    </xf>
    <xf numFmtId="0" fontId="0" fillId="9" borderId="8" xfId="0" applyFill="1" applyBorder="1" applyAlignment="1" applyProtection="1">
      <alignment horizontal="left"/>
      <protection locked="0"/>
    </xf>
    <xf numFmtId="0" fontId="0" fillId="9" borderId="9" xfId="0" applyFill="1" applyBorder="1" applyAlignment="1" applyProtection="1">
      <alignment horizontal="left"/>
      <protection locked="0"/>
    </xf>
    <xf numFmtId="0" fontId="17" fillId="0" borderId="0" xfId="0" applyFont="1" applyAlignment="1">
      <alignment horizontal="center" vertical="center" wrapText="1"/>
    </xf>
    <xf numFmtId="0" fontId="0" fillId="2" borderId="1" xfId="0" applyFill="1" applyBorder="1" applyAlignment="1">
      <alignment horizontal="center"/>
    </xf>
    <xf numFmtId="0" fontId="12" fillId="2" borderId="7" xfId="0" applyFont="1" applyFill="1" applyBorder="1" applyAlignment="1">
      <alignment horizontal="left" vertical="center"/>
    </xf>
    <xf numFmtId="0" fontId="12" fillId="2" borderId="8" xfId="0" applyFont="1" applyFill="1" applyBorder="1" applyAlignment="1">
      <alignment horizontal="left" vertical="center"/>
    </xf>
    <xf numFmtId="0" fontId="2" fillId="2" borderId="8" xfId="75" applyFill="1" applyBorder="1" applyAlignment="1" applyProtection="1">
      <alignment horizontal="center" vertical="center"/>
      <protection locked="0"/>
    </xf>
    <xf numFmtId="0" fontId="2" fillId="2" borderId="9" xfId="75" applyFill="1" applyBorder="1" applyAlignment="1" applyProtection="1">
      <alignment horizontal="center" vertical="center"/>
      <protection locked="0"/>
    </xf>
    <xf numFmtId="0" fontId="0" fillId="2" borderId="5" xfId="0" applyFill="1" applyBorder="1" applyAlignment="1">
      <alignment horizontal="center" vertical="center"/>
    </xf>
    <xf numFmtId="0" fontId="0" fillId="2" borderId="11" xfId="0" applyFill="1" applyBorder="1" applyAlignment="1">
      <alignment horizontal="center" vertical="center"/>
    </xf>
    <xf numFmtId="0" fontId="0" fillId="2" borderId="6" xfId="0" applyFill="1" applyBorder="1" applyAlignment="1">
      <alignment horizontal="center" vertical="center"/>
    </xf>
    <xf numFmtId="0" fontId="0" fillId="5" borderId="4" xfId="0" applyFill="1" applyBorder="1" applyAlignment="1">
      <alignment horizontal="center"/>
    </xf>
    <xf numFmtId="0" fontId="0" fillId="5" borderId="14" xfId="0" applyFill="1" applyBorder="1" applyAlignment="1">
      <alignment horizontal="center"/>
    </xf>
    <xf numFmtId="167" fontId="0" fillId="9" borderId="9" xfId="0" applyNumberFormat="1" applyFill="1" applyBorder="1" applyAlignment="1" applyProtection="1">
      <alignment horizontal="center" vertical="center"/>
      <protection locked="0"/>
    </xf>
    <xf numFmtId="167" fontId="0" fillId="0" borderId="7" xfId="0" applyNumberFormat="1" applyFill="1" applyBorder="1" applyAlignment="1">
      <alignment horizontal="center" vertical="center"/>
    </xf>
    <xf numFmtId="0" fontId="5" fillId="0" borderId="43" xfId="0" applyFont="1" applyBorder="1" applyAlignment="1">
      <alignment horizontal="center" vertical="center"/>
    </xf>
    <xf numFmtId="0" fontId="5" fillId="0" borderId="44" xfId="0" applyFont="1" applyBorder="1" applyAlignment="1">
      <alignment horizontal="center" vertical="center"/>
    </xf>
    <xf numFmtId="0" fontId="5" fillId="0" borderId="29" xfId="0" applyFont="1" applyBorder="1" applyAlignment="1">
      <alignment horizontal="center" vertical="center"/>
    </xf>
    <xf numFmtId="0" fontId="5" fillId="0" borderId="31" xfId="0" applyFont="1" applyBorder="1" applyAlignment="1">
      <alignment horizontal="center" vertical="center"/>
    </xf>
    <xf numFmtId="0" fontId="5" fillId="0" borderId="32" xfId="0" applyFont="1" applyBorder="1" applyAlignment="1">
      <alignment horizontal="center" vertical="center"/>
    </xf>
    <xf numFmtId="0" fontId="5" fillId="0" borderId="33" xfId="0" applyFont="1" applyBorder="1" applyAlignment="1">
      <alignment horizontal="center" vertical="center"/>
    </xf>
    <xf numFmtId="0" fontId="0" fillId="0" borderId="34" xfId="0" applyBorder="1" applyAlignment="1">
      <alignment horizontal="left" vertical="center"/>
    </xf>
    <xf numFmtId="0" fontId="0" fillId="0" borderId="36" xfId="0" applyBorder="1" applyAlignment="1">
      <alignment horizontal="left" vertical="center"/>
    </xf>
    <xf numFmtId="0" fontId="0" fillId="0" borderId="32" xfId="0" applyBorder="1" applyAlignment="1">
      <alignment horizontal="center" vertical="center"/>
    </xf>
    <xf numFmtId="0" fontId="0" fillId="0" borderId="33" xfId="0" applyBorder="1" applyAlignment="1">
      <alignment horizontal="center" vertical="center"/>
    </xf>
    <xf numFmtId="0" fontId="22" fillId="0" borderId="0" xfId="0" applyFont="1" applyBorder="1" applyAlignment="1" applyProtection="1">
      <alignment horizontal="left" vertical="top" wrapText="1"/>
    </xf>
    <xf numFmtId="0" fontId="4" fillId="0" borderId="32" xfId="0" applyFont="1" applyBorder="1" applyAlignment="1" applyProtection="1">
      <alignment horizontal="left" vertical="top" wrapText="1"/>
      <protection locked="0"/>
    </xf>
    <xf numFmtId="0" fontId="4" fillId="0" borderId="0" xfId="0" applyFont="1" applyBorder="1" applyAlignment="1" applyProtection="1">
      <alignment horizontal="left" vertical="top" wrapText="1"/>
      <protection locked="0"/>
    </xf>
    <xf numFmtId="0" fontId="4" fillId="0" borderId="33" xfId="0" applyFont="1" applyBorder="1" applyAlignment="1" applyProtection="1">
      <alignment horizontal="left" vertical="top" wrapText="1"/>
      <protection locked="0"/>
    </xf>
    <xf numFmtId="0" fontId="4" fillId="0" borderId="34" xfId="0" applyFont="1" applyBorder="1" applyAlignment="1" applyProtection="1">
      <alignment horizontal="left" vertical="top" wrapText="1"/>
      <protection locked="0"/>
    </xf>
    <xf numFmtId="0" fontId="4" fillId="0" borderId="35" xfId="0" applyFont="1" applyBorder="1" applyAlignment="1" applyProtection="1">
      <alignment horizontal="left" vertical="top" wrapText="1"/>
      <protection locked="0"/>
    </xf>
    <xf numFmtId="0" fontId="4" fillId="0" borderId="36" xfId="0" applyFont="1" applyBorder="1" applyAlignment="1" applyProtection="1">
      <alignment horizontal="left" vertical="top" wrapText="1"/>
      <protection locked="0"/>
    </xf>
    <xf numFmtId="0" fontId="0" fillId="6" borderId="20" xfId="0" applyFill="1" applyBorder="1" applyAlignment="1">
      <alignment horizontal="right" vertical="center"/>
    </xf>
    <xf numFmtId="0" fontId="0" fillId="6" borderId="48" xfId="0" applyFill="1" applyBorder="1" applyAlignment="1">
      <alignment horizontal="right" vertical="center"/>
    </xf>
    <xf numFmtId="0" fontId="0" fillId="6" borderId="49" xfId="0" applyFill="1" applyBorder="1" applyAlignment="1">
      <alignment horizontal="right" vertical="center"/>
    </xf>
    <xf numFmtId="167" fontId="0" fillId="9" borderId="7" xfId="0" applyNumberFormat="1" applyFill="1" applyBorder="1" applyAlignment="1" applyProtection="1">
      <alignment horizontal="center" vertical="center"/>
      <protection locked="0"/>
    </xf>
    <xf numFmtId="0" fontId="0" fillId="0" borderId="7" xfId="0" applyFont="1" applyFill="1" applyBorder="1" applyAlignment="1">
      <alignment horizontal="right" vertical="center"/>
    </xf>
    <xf numFmtId="0" fontId="0" fillId="0" borderId="8" xfId="0" applyFont="1" applyFill="1" applyBorder="1" applyAlignment="1">
      <alignment horizontal="right" vertical="center"/>
    </xf>
    <xf numFmtId="0" fontId="0" fillId="0" borderId="9" xfId="0" applyFont="1" applyFill="1" applyBorder="1" applyAlignment="1">
      <alignment horizontal="right" vertical="center"/>
    </xf>
    <xf numFmtId="0" fontId="0" fillId="3" borderId="7" xfId="0" applyFill="1" applyBorder="1" applyAlignment="1">
      <alignment horizontal="right" vertical="center"/>
    </xf>
    <xf numFmtId="0" fontId="0" fillId="3" borderId="8" xfId="0" applyFill="1" applyBorder="1" applyAlignment="1">
      <alignment horizontal="right" vertical="center"/>
    </xf>
    <xf numFmtId="0" fontId="0" fillId="3" borderId="9" xfId="0" applyFill="1" applyBorder="1" applyAlignment="1">
      <alignment horizontal="right" vertical="center"/>
    </xf>
    <xf numFmtId="0" fontId="0" fillId="0" borderId="1" xfId="0" applyFont="1" applyFill="1" applyBorder="1" applyAlignment="1">
      <alignment horizontal="left" vertical="center"/>
    </xf>
    <xf numFmtId="0" fontId="2" fillId="0" borderId="0" xfId="75" applyAlignment="1" applyProtection="1">
      <alignment horizontal="center" vertical="center"/>
      <protection locked="0"/>
    </xf>
    <xf numFmtId="0" fontId="2" fillId="0" borderId="12" xfId="75" applyBorder="1" applyAlignment="1" applyProtection="1">
      <alignment horizontal="center" vertical="center"/>
      <protection locked="0"/>
    </xf>
    <xf numFmtId="0" fontId="0" fillId="0" borderId="0" xfId="0" applyAlignment="1">
      <alignment horizontal="center"/>
    </xf>
    <xf numFmtId="0" fontId="8" fillId="0" borderId="2" xfId="0" applyFont="1" applyBorder="1" applyAlignment="1">
      <alignment horizontal="lef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3" xfId="0" applyFont="1" applyBorder="1" applyAlignment="1">
      <alignment horizontal="left" vertical="center"/>
    </xf>
    <xf numFmtId="0" fontId="8" fillId="0" borderId="12" xfId="0" applyFont="1" applyBorder="1" applyAlignment="1">
      <alignment horizontal="left" vertical="center"/>
    </xf>
    <xf numFmtId="0" fontId="8" fillId="0" borderId="14" xfId="0" applyFont="1" applyBorder="1" applyAlignment="1">
      <alignment horizontal="left" vertical="center"/>
    </xf>
    <xf numFmtId="0" fontId="0" fillId="0" borderId="1" xfId="0" applyBorder="1" applyAlignment="1">
      <alignment horizontal="center" vertical="center"/>
    </xf>
    <xf numFmtId="0" fontId="0" fillId="0" borderId="1" xfId="0" applyFill="1" applyBorder="1" applyAlignment="1">
      <alignment horizontal="left"/>
    </xf>
    <xf numFmtId="49" fontId="6" fillId="0" borderId="7" xfId="0" applyNumberFormat="1" applyFont="1" applyFill="1" applyBorder="1" applyAlignment="1">
      <alignment horizontal="left"/>
    </xf>
    <xf numFmtId="49" fontId="6" fillId="0" borderId="8" xfId="0" applyNumberFormat="1" applyFont="1" applyFill="1" applyBorder="1" applyAlignment="1">
      <alignment horizontal="left"/>
    </xf>
    <xf numFmtId="49" fontId="6" fillId="0" borderId="9" xfId="0" applyNumberFormat="1" applyFont="1" applyFill="1" applyBorder="1" applyAlignment="1">
      <alignment horizontal="left"/>
    </xf>
    <xf numFmtId="0" fontId="0" fillId="0" borderId="1" xfId="0" applyBorder="1" applyAlignment="1">
      <alignment horizontal="left"/>
    </xf>
    <xf numFmtId="0" fontId="0" fillId="0" borderId="1" xfId="0" applyBorder="1"/>
    <xf numFmtId="0" fontId="0" fillId="0" borderId="7" xfId="0" applyBorder="1" applyAlignment="1">
      <alignment horizontal="right"/>
    </xf>
    <xf numFmtId="0" fontId="0" fillId="0" borderId="8" xfId="0" applyBorder="1" applyAlignment="1">
      <alignment horizontal="right"/>
    </xf>
    <xf numFmtId="0" fontId="0" fillId="0" borderId="9" xfId="0" applyBorder="1" applyAlignment="1">
      <alignment horizontal="right"/>
    </xf>
    <xf numFmtId="0" fontId="6" fillId="0" borderId="7" xfId="0" applyFont="1" applyBorder="1"/>
    <xf numFmtId="0" fontId="6" fillId="0" borderId="8" xfId="0" applyFont="1" applyBorder="1"/>
    <xf numFmtId="0" fontId="6" fillId="0" borderId="9" xfId="0" applyFont="1" applyBorder="1"/>
    <xf numFmtId="0" fontId="0" fillId="0" borderId="1" xfId="0" applyFill="1" applyBorder="1"/>
    <xf numFmtId="167" fontId="0" fillId="0" borderId="1" xfId="0" applyNumberFormat="1" applyFill="1" applyBorder="1" applyAlignment="1">
      <alignment horizontal="center"/>
    </xf>
    <xf numFmtId="0" fontId="6" fillId="0" borderId="7" xfId="0" applyFont="1" applyFill="1" applyBorder="1" applyAlignment="1">
      <alignment horizontal="left"/>
    </xf>
    <xf numFmtId="0" fontId="6" fillId="0" borderId="8" xfId="0" applyFont="1" applyFill="1" applyBorder="1" applyAlignment="1">
      <alignment horizontal="left"/>
    </xf>
    <xf numFmtId="0" fontId="6" fillId="0" borderId="9" xfId="0" applyFont="1" applyFill="1" applyBorder="1" applyAlignment="1">
      <alignment horizontal="left"/>
    </xf>
    <xf numFmtId="0" fontId="0" fillId="0" borderId="5" xfId="0" applyBorder="1" applyAlignment="1">
      <alignment horizontal="center" vertical="center"/>
    </xf>
    <xf numFmtId="0" fontId="0" fillId="0" borderId="6" xfId="0" applyBorder="1" applyAlignment="1">
      <alignment horizontal="center" vertical="center"/>
    </xf>
    <xf numFmtId="0" fontId="0" fillId="0" borderId="1" xfId="0" applyFont="1" applyBorder="1" applyAlignment="1">
      <alignment horizontal="left"/>
    </xf>
    <xf numFmtId="0" fontId="6" fillId="0" borderId="1" xfId="0" applyFont="1" applyBorder="1"/>
    <xf numFmtId="0" fontId="15" fillId="0" borderId="12" xfId="0" applyFont="1" applyBorder="1" applyAlignment="1">
      <alignment horizontal="center" vertical="center"/>
    </xf>
    <xf numFmtId="0" fontId="6" fillId="0" borderId="7" xfId="0" applyFont="1" applyBorder="1" applyAlignment="1">
      <alignment horizontal="left"/>
    </xf>
    <xf numFmtId="0" fontId="6" fillId="0" borderId="8" xfId="0" applyFont="1" applyBorder="1" applyAlignment="1">
      <alignment horizontal="left"/>
    </xf>
    <xf numFmtId="0" fontId="6" fillId="0" borderId="9" xfId="0" applyFont="1" applyBorder="1" applyAlignment="1">
      <alignment horizontal="left"/>
    </xf>
    <xf numFmtId="0" fontId="6" fillId="0" borderId="7" xfId="0" applyFont="1" applyFill="1" applyBorder="1"/>
    <xf numFmtId="0" fontId="6" fillId="0" borderId="8" xfId="0" applyFont="1" applyFill="1" applyBorder="1"/>
    <xf numFmtId="0" fontId="6" fillId="0" borderId="9" xfId="0" applyFont="1" applyFill="1" applyBorder="1"/>
    <xf numFmtId="0" fontId="0" fillId="0" borderId="1" xfId="0" applyBorder="1" applyAlignment="1">
      <alignment horizontal="right"/>
    </xf>
    <xf numFmtId="0" fontId="6" fillId="0" borderId="3" xfId="0" applyFont="1" applyBorder="1"/>
    <xf numFmtId="0" fontId="6" fillId="0" borderId="4" xfId="0" applyFont="1" applyBorder="1"/>
    <xf numFmtId="0" fontId="0" fillId="0" borderId="7" xfId="0" applyBorder="1" applyAlignment="1">
      <alignment horizontal="left"/>
    </xf>
    <xf numFmtId="0" fontId="0" fillId="0" borderId="8" xfId="0" applyBorder="1" applyAlignment="1">
      <alignment horizontal="left"/>
    </xf>
    <xf numFmtId="0" fontId="0" fillId="0" borderId="9" xfId="0" applyBorder="1" applyAlignment="1">
      <alignment horizontal="left"/>
    </xf>
    <xf numFmtId="0" fontId="0" fillId="9" borderId="7" xfId="0" applyFill="1" applyBorder="1" applyAlignment="1" applyProtection="1">
      <alignment horizontal="right"/>
      <protection locked="0"/>
    </xf>
    <xf numFmtId="0" fontId="0" fillId="9" borderId="9" xfId="0" applyFill="1" applyBorder="1" applyAlignment="1" applyProtection="1">
      <alignment horizontal="right"/>
      <protection locked="0"/>
    </xf>
    <xf numFmtId="0" fontId="6" fillId="0" borderId="2" xfId="0" applyFont="1" applyBorder="1" applyAlignment="1">
      <alignment horizontal="lef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3" xfId="0" applyFont="1" applyBorder="1" applyAlignment="1">
      <alignment horizontal="left" vertical="center"/>
    </xf>
    <xf numFmtId="0" fontId="6" fillId="0" borderId="12" xfId="0" applyFont="1" applyBorder="1" applyAlignment="1">
      <alignment horizontal="left" vertical="center"/>
    </xf>
    <xf numFmtId="0" fontId="6" fillId="0" borderId="14" xfId="0" applyFont="1" applyBorder="1" applyAlignment="1">
      <alignment horizontal="left" vertical="center"/>
    </xf>
    <xf numFmtId="0" fontId="6" fillId="0" borderId="7" xfId="0" applyFont="1" applyBorder="1" applyAlignment="1" applyProtection="1">
      <alignment horizontal="left"/>
    </xf>
    <xf numFmtId="0" fontId="6" fillId="0" borderId="8" xfId="0" applyFont="1" applyBorder="1" applyAlignment="1" applyProtection="1">
      <alignment horizontal="left"/>
    </xf>
    <xf numFmtId="0" fontId="6" fillId="0" borderId="9" xfId="0" applyFont="1" applyBorder="1" applyAlignment="1" applyProtection="1">
      <alignment horizontal="left"/>
    </xf>
    <xf numFmtId="0" fontId="6" fillId="0" borderId="7" xfId="0" applyFont="1" applyBorder="1" applyProtection="1"/>
    <xf numFmtId="0" fontId="6" fillId="0" borderId="8" xfId="0" applyFont="1" applyBorder="1" applyProtection="1"/>
    <xf numFmtId="0" fontId="6" fillId="0" borderId="9" xfId="0" applyFont="1" applyBorder="1" applyProtection="1"/>
    <xf numFmtId="0" fontId="6" fillId="0" borderId="7" xfId="0" applyFont="1" applyFill="1" applyBorder="1" applyProtection="1"/>
    <xf numFmtId="0" fontId="6" fillId="0" borderId="8" xfId="0" applyFont="1" applyFill="1" applyBorder="1" applyProtection="1"/>
    <xf numFmtId="0" fontId="6" fillId="0" borderId="9" xfId="0" applyFont="1" applyFill="1" applyBorder="1" applyProtection="1"/>
    <xf numFmtId="0" fontId="6" fillId="0" borderId="7" xfId="0" applyFont="1" applyFill="1" applyBorder="1" applyAlignment="1" applyProtection="1">
      <alignment horizontal="left"/>
    </xf>
    <xf numFmtId="0" fontId="6" fillId="0" borderId="8" xfId="0" applyFont="1" applyFill="1" applyBorder="1" applyAlignment="1" applyProtection="1">
      <alignment horizontal="left"/>
    </xf>
    <xf numFmtId="0" fontId="6" fillId="0" borderId="9" xfId="0" applyFont="1" applyFill="1" applyBorder="1" applyAlignment="1" applyProtection="1">
      <alignment horizontal="left"/>
    </xf>
    <xf numFmtId="0" fontId="0" fillId="0" borderId="1" xfId="0" applyBorder="1" applyProtection="1"/>
    <xf numFmtId="0" fontId="0" fillId="0" borderId="1" xfId="0" applyBorder="1" applyAlignment="1" applyProtection="1">
      <alignment horizontal="right"/>
    </xf>
    <xf numFmtId="0" fontId="6" fillId="0" borderId="1" xfId="0" applyFont="1" applyBorder="1" applyProtection="1"/>
    <xf numFmtId="0" fontId="0" fillId="0" borderId="1" xfId="0" applyFill="1" applyBorder="1" applyProtection="1"/>
    <xf numFmtId="0" fontId="0" fillId="0" borderId="1" xfId="0" applyFont="1" applyBorder="1" applyAlignment="1" applyProtection="1">
      <alignment horizontal="left"/>
    </xf>
    <xf numFmtId="0" fontId="6" fillId="0" borderId="3" xfId="0" applyFont="1" applyBorder="1" applyProtection="1"/>
    <xf numFmtId="0" fontId="6" fillId="0" borderId="4" xfId="0" applyFont="1" applyBorder="1" applyProtection="1"/>
    <xf numFmtId="0" fontId="0" fillId="0" borderId="7" xfId="0" applyBorder="1" applyAlignment="1" applyProtection="1">
      <alignment horizontal="left"/>
    </xf>
    <xf numFmtId="0" fontId="0" fillId="0" borderId="8" xfId="0" applyBorder="1" applyAlignment="1" applyProtection="1">
      <alignment horizontal="left"/>
    </xf>
    <xf numFmtId="0" fontId="0" fillId="0" borderId="9" xfId="0" applyBorder="1" applyAlignment="1" applyProtection="1">
      <alignment horizontal="left"/>
    </xf>
    <xf numFmtId="167" fontId="0" fillId="0" borderId="1" xfId="0" applyNumberFormat="1" applyFill="1" applyBorder="1" applyAlignment="1" applyProtection="1">
      <alignment horizontal="center"/>
    </xf>
    <xf numFmtId="0" fontId="0" fillId="0" borderId="7" xfId="0" applyBorder="1" applyAlignment="1" applyProtection="1">
      <alignment horizontal="right"/>
    </xf>
    <xf numFmtId="0" fontId="0" fillId="0" borderId="8" xfId="0" applyBorder="1" applyAlignment="1" applyProtection="1">
      <alignment horizontal="right"/>
    </xf>
    <xf numFmtId="0" fontId="0" fillId="0" borderId="9" xfId="0" applyBorder="1" applyAlignment="1" applyProtection="1">
      <alignment horizontal="right"/>
    </xf>
    <xf numFmtId="0" fontId="0" fillId="0" borderId="1" xfId="0" applyFill="1" applyBorder="1" applyAlignment="1" applyProtection="1">
      <alignment horizontal="left"/>
    </xf>
    <xf numFmtId="49" fontId="6" fillId="0" borderId="7" xfId="0" applyNumberFormat="1" applyFont="1" applyFill="1" applyBorder="1" applyAlignment="1" applyProtection="1">
      <alignment horizontal="left"/>
    </xf>
    <xf numFmtId="49" fontId="6" fillId="0" borderId="8" xfId="0" applyNumberFormat="1" applyFont="1" applyFill="1" applyBorder="1" applyAlignment="1" applyProtection="1">
      <alignment horizontal="left"/>
    </xf>
    <xf numFmtId="49" fontId="6" fillId="0" borderId="9" xfId="0" applyNumberFormat="1" applyFont="1" applyFill="1" applyBorder="1" applyAlignment="1" applyProtection="1">
      <alignment horizontal="left"/>
    </xf>
    <xf numFmtId="0" fontId="0" fillId="0" borderId="1" xfId="0" applyBorder="1" applyAlignment="1" applyProtection="1">
      <alignment horizontal="left"/>
    </xf>
    <xf numFmtId="0" fontId="15" fillId="0" borderId="12" xfId="0" applyFont="1" applyBorder="1" applyAlignment="1" applyProtection="1">
      <alignment horizontal="center" vertical="center"/>
    </xf>
    <xf numFmtId="0" fontId="8" fillId="0" borderId="2" xfId="0" applyFont="1" applyBorder="1" applyAlignment="1" applyProtection="1">
      <alignment horizontal="left" vertical="center"/>
    </xf>
    <xf numFmtId="0" fontId="8" fillId="0" borderId="3" xfId="0" applyFont="1" applyBorder="1" applyAlignment="1" applyProtection="1">
      <alignment horizontal="left" vertical="center"/>
    </xf>
    <xf numFmtId="0" fontId="8" fillId="0" borderId="4" xfId="0" applyFont="1" applyBorder="1" applyAlignment="1" applyProtection="1">
      <alignment horizontal="left" vertical="center"/>
    </xf>
    <xf numFmtId="0" fontId="8" fillId="0" borderId="13" xfId="0" applyFont="1" applyBorder="1" applyAlignment="1" applyProtection="1">
      <alignment horizontal="left" vertical="center"/>
    </xf>
    <xf numFmtId="0" fontId="8" fillId="0" borderId="12" xfId="0" applyFont="1" applyBorder="1" applyAlignment="1" applyProtection="1">
      <alignment horizontal="left" vertical="center"/>
    </xf>
    <xf numFmtId="0" fontId="8" fillId="0" borderId="14" xfId="0" applyFont="1" applyBorder="1" applyAlignment="1" applyProtection="1">
      <alignment horizontal="left" vertical="center"/>
    </xf>
    <xf numFmtId="0" fontId="0" fillId="0" borderId="1" xfId="0" applyBorder="1" applyAlignment="1" applyProtection="1">
      <alignment horizontal="center" vertical="center"/>
    </xf>
    <xf numFmtId="0" fontId="0" fillId="0" borderId="5" xfId="0" applyBorder="1" applyAlignment="1" applyProtection="1">
      <alignment horizontal="center" vertical="center"/>
    </xf>
    <xf numFmtId="0" fontId="0" fillId="0" borderId="6" xfId="0" applyBorder="1" applyAlignment="1" applyProtection="1">
      <alignment horizontal="center" vertical="center"/>
    </xf>
    <xf numFmtId="0" fontId="20" fillId="0" borderId="1" xfId="0" applyFont="1" applyBorder="1" applyAlignment="1" applyProtection="1">
      <alignment horizontal="left" vertical="center"/>
    </xf>
    <xf numFmtId="0" fontId="20" fillId="0" borderId="0" xfId="0" applyFont="1" applyAlignment="1" applyProtection="1">
      <alignment horizontal="center"/>
    </xf>
    <xf numFmtId="0" fontId="20" fillId="0" borderId="1" xfId="0" applyFont="1" applyBorder="1" applyAlignment="1" applyProtection="1">
      <alignment horizontal="left"/>
    </xf>
    <xf numFmtId="0" fontId="14" fillId="0" borderId="1" xfId="0" applyFont="1" applyBorder="1" applyAlignment="1" applyProtection="1">
      <alignment horizontal="center"/>
    </xf>
    <xf numFmtId="167" fontId="20" fillId="0" borderId="7" xfId="0" applyNumberFormat="1" applyFont="1" applyBorder="1" applyAlignment="1" applyProtection="1">
      <alignment horizontal="center"/>
    </xf>
    <xf numFmtId="167" fontId="20" fillId="0" borderId="9" xfId="0" applyNumberFormat="1" applyFont="1" applyBorder="1" applyAlignment="1" applyProtection="1">
      <alignment horizontal="center"/>
    </xf>
    <xf numFmtId="167" fontId="20" fillId="0" borderId="1" xfId="0" applyNumberFormat="1" applyFont="1" applyBorder="1" applyAlignment="1" applyProtection="1">
      <alignment horizontal="center"/>
    </xf>
    <xf numFmtId="0" fontId="20" fillId="0" borderId="1" xfId="0" applyFont="1" applyBorder="1" applyAlignment="1" applyProtection="1">
      <alignment horizontal="center"/>
    </xf>
    <xf numFmtId="0" fontId="14" fillId="0" borderId="7" xfId="0" applyFont="1" applyBorder="1" applyAlignment="1" applyProtection="1">
      <alignment horizontal="left"/>
    </xf>
    <xf numFmtId="0" fontId="14" fillId="0" borderId="8" xfId="0" applyFont="1" applyBorder="1" applyAlignment="1" applyProtection="1">
      <alignment horizontal="left"/>
    </xf>
    <xf numFmtId="0" fontId="14" fillId="0" borderId="9" xfId="0" applyFont="1" applyBorder="1" applyAlignment="1" applyProtection="1">
      <alignment horizontal="left"/>
    </xf>
    <xf numFmtId="0" fontId="14" fillId="0" borderId="7" xfId="0" applyFont="1" applyBorder="1" applyAlignment="1" applyProtection="1">
      <alignment horizontal="right"/>
    </xf>
    <xf numFmtId="0" fontId="14" fillId="0" borderId="47" xfId="0" applyFont="1" applyBorder="1" applyAlignment="1" applyProtection="1">
      <alignment horizontal="right"/>
    </xf>
    <xf numFmtId="0" fontId="14" fillId="0" borderId="8" xfId="0" applyFont="1" applyBorder="1" applyAlignment="1" applyProtection="1">
      <alignment horizontal="right"/>
    </xf>
    <xf numFmtId="0" fontId="14" fillId="0" borderId="9" xfId="0" applyFont="1" applyBorder="1" applyAlignment="1" applyProtection="1">
      <alignment horizontal="right"/>
    </xf>
    <xf numFmtId="0" fontId="14" fillId="0" borderId="1" xfId="0" applyFont="1" applyBorder="1" applyAlignment="1" applyProtection="1">
      <alignment horizontal="left"/>
    </xf>
    <xf numFmtId="0" fontId="14" fillId="0" borderId="1" xfId="0" applyFont="1" applyBorder="1" applyAlignment="1" applyProtection="1">
      <alignment horizontal="right"/>
    </xf>
    <xf numFmtId="0" fontId="20" fillId="0" borderId="7" xfId="0" applyFont="1" applyBorder="1" applyAlignment="1" applyProtection="1">
      <alignment horizontal="left"/>
    </xf>
    <xf numFmtId="0" fontId="20" fillId="0" borderId="8" xfId="0" applyFont="1" applyBorder="1" applyAlignment="1" applyProtection="1">
      <alignment horizontal="left"/>
    </xf>
    <xf numFmtId="0" fontId="20" fillId="0" borderId="9" xfId="0" applyFont="1" applyBorder="1" applyAlignment="1" applyProtection="1">
      <alignment horizontal="left"/>
    </xf>
    <xf numFmtId="0" fontId="20" fillId="0" borderId="5" xfId="0" applyFont="1" applyBorder="1" applyAlignment="1" applyProtection="1">
      <alignment horizontal="left"/>
    </xf>
    <xf numFmtId="0" fontId="20" fillId="0" borderId="1" xfId="0" applyFont="1" applyFill="1" applyBorder="1" applyAlignment="1" applyProtection="1">
      <alignment horizontal="left" vertical="center"/>
    </xf>
    <xf numFmtId="0" fontId="20" fillId="0" borderId="7" xfId="0" applyFont="1" applyBorder="1" applyAlignment="1" applyProtection="1">
      <alignment horizontal="center"/>
    </xf>
    <xf numFmtId="0" fontId="20" fillId="0" borderId="8" xfId="0" applyFont="1" applyBorder="1" applyAlignment="1" applyProtection="1">
      <alignment horizontal="center"/>
    </xf>
    <xf numFmtId="10" fontId="20" fillId="0" borderId="1" xfId="0" applyNumberFormat="1" applyFont="1" applyBorder="1" applyAlignment="1" applyProtection="1">
      <alignment horizontal="center"/>
    </xf>
    <xf numFmtId="10" fontId="20" fillId="9" borderId="1" xfId="0" applyNumberFormat="1" applyFont="1" applyFill="1" applyBorder="1" applyAlignment="1" applyProtection="1">
      <alignment horizontal="center"/>
      <protection locked="0"/>
    </xf>
    <xf numFmtId="167" fontId="20" fillId="9" borderId="1" xfId="0" applyNumberFormat="1" applyFont="1" applyFill="1" applyBorder="1" applyAlignment="1" applyProtection="1">
      <alignment horizontal="center"/>
      <protection locked="0"/>
    </xf>
    <xf numFmtId="49" fontId="20" fillId="0" borderId="1" xfId="0" applyNumberFormat="1" applyFont="1" applyFill="1" applyBorder="1" applyAlignment="1" applyProtection="1">
      <alignment horizontal="left" vertical="center"/>
    </xf>
    <xf numFmtId="0" fontId="20" fillId="0" borderId="1" xfId="0" applyFont="1" applyBorder="1" applyAlignment="1">
      <alignment horizontal="center"/>
    </xf>
    <xf numFmtId="167" fontId="20" fillId="0" borderId="7" xfId="0" applyNumberFormat="1" applyFont="1" applyBorder="1" applyAlignment="1">
      <alignment horizontal="center"/>
    </xf>
    <xf numFmtId="167" fontId="20" fillId="0" borderId="9" xfId="0" applyNumberFormat="1" applyFont="1" applyBorder="1" applyAlignment="1">
      <alignment horizontal="center"/>
    </xf>
    <xf numFmtId="0" fontId="14" fillId="0" borderId="7" xfId="0" applyFont="1" applyBorder="1" applyAlignment="1">
      <alignment horizontal="right"/>
    </xf>
    <xf numFmtId="0" fontId="14" fillId="0" borderId="8" xfId="0" applyFont="1" applyBorder="1" applyAlignment="1">
      <alignment horizontal="right"/>
    </xf>
    <xf numFmtId="0" fontId="14" fillId="0" borderId="9" xfId="0" applyFont="1" applyBorder="1" applyAlignment="1">
      <alignment horizontal="right"/>
    </xf>
    <xf numFmtId="0" fontId="14" fillId="0" borderId="47" xfId="0" applyFont="1" applyBorder="1" applyAlignment="1">
      <alignment horizontal="right"/>
    </xf>
    <xf numFmtId="0" fontId="14" fillId="0" borderId="1" xfId="0" applyFont="1" applyBorder="1" applyAlignment="1">
      <alignment horizontal="center"/>
    </xf>
    <xf numFmtId="167" fontId="20" fillId="0" borderId="1" xfId="0" applyNumberFormat="1" applyFont="1" applyBorder="1" applyAlignment="1">
      <alignment horizontal="center"/>
    </xf>
    <xf numFmtId="0" fontId="14" fillId="0" borderId="7" xfId="0" applyFont="1" applyBorder="1" applyAlignment="1">
      <alignment horizontal="left"/>
    </xf>
    <xf numFmtId="0" fontId="14" fillId="0" borderId="8" xfId="0" applyFont="1" applyBorder="1" applyAlignment="1">
      <alignment horizontal="left"/>
    </xf>
    <xf numFmtId="0" fontId="14" fillId="0" borderId="9" xfId="0" applyFont="1" applyBorder="1" applyAlignment="1">
      <alignment horizontal="left"/>
    </xf>
    <xf numFmtId="0" fontId="20" fillId="0" borderId="1" xfId="0" applyFont="1" applyBorder="1" applyAlignment="1">
      <alignment horizontal="left"/>
    </xf>
    <xf numFmtId="0" fontId="14" fillId="0" borderId="1" xfId="0" applyFont="1" applyBorder="1" applyAlignment="1">
      <alignment horizontal="left"/>
    </xf>
    <xf numFmtId="0" fontId="20" fillId="0" borderId="7" xfId="0" applyFont="1" applyBorder="1" applyAlignment="1">
      <alignment horizontal="left"/>
    </xf>
    <xf numFmtId="0" fontId="20" fillId="0" borderId="8" xfId="0" applyFont="1" applyBorder="1" applyAlignment="1">
      <alignment horizontal="left"/>
    </xf>
    <xf numFmtId="0" fontId="20" fillId="0" borderId="9" xfId="0" applyFont="1" applyBorder="1" applyAlignment="1">
      <alignment horizontal="left"/>
    </xf>
    <xf numFmtId="0" fontId="20" fillId="0" borderId="0" xfId="0" applyFont="1" applyAlignment="1">
      <alignment horizontal="center"/>
    </xf>
    <xf numFmtId="0" fontId="20" fillId="0" borderId="1" xfId="0" applyFont="1" applyFill="1" applyBorder="1" applyAlignment="1">
      <alignment horizontal="left" vertical="center"/>
    </xf>
    <xf numFmtId="0" fontId="20" fillId="0" borderId="5" xfId="0" applyFont="1" applyBorder="1" applyAlignment="1">
      <alignment horizontal="left"/>
    </xf>
    <xf numFmtId="0" fontId="14" fillId="0" borderId="1" xfId="0" applyFont="1" applyBorder="1" applyAlignment="1">
      <alignment horizontal="right"/>
    </xf>
    <xf numFmtId="0" fontId="20" fillId="0" borderId="1" xfId="0" applyFont="1" applyBorder="1" applyAlignment="1">
      <alignment horizontal="left" vertical="center"/>
    </xf>
    <xf numFmtId="49" fontId="20" fillId="0" borderId="1" xfId="0" applyNumberFormat="1" applyFont="1" applyFill="1" applyBorder="1" applyAlignment="1">
      <alignment horizontal="left" vertical="center"/>
    </xf>
    <xf numFmtId="10" fontId="20" fillId="0" borderId="1" xfId="0" applyNumberFormat="1" applyFont="1" applyBorder="1" applyAlignment="1">
      <alignment horizontal="center"/>
    </xf>
    <xf numFmtId="0" fontId="20" fillId="0" borderId="7" xfId="0" applyFont="1" applyBorder="1" applyAlignment="1">
      <alignment horizontal="center"/>
    </xf>
    <xf numFmtId="0" fontId="20" fillId="0" borderId="8" xfId="0" applyFont="1" applyBorder="1" applyAlignment="1">
      <alignment horizontal="center"/>
    </xf>
    <xf numFmtId="0" fontId="14" fillId="0" borderId="0" xfId="0" applyFont="1" applyAlignment="1">
      <alignment horizontal="center" vertical="center"/>
    </xf>
    <xf numFmtId="0" fontId="0" fillId="0" borderId="0" xfId="0" applyAlignment="1">
      <alignment horizontal="center" vertical="center"/>
    </xf>
  </cellXfs>
  <cellStyles count="564">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7" builtinId="9" hidden="1"/>
    <cellStyle name="Followed Hyperlink" xfId="78" builtinId="9" hidden="1"/>
    <cellStyle name="Followed Hyperlink" xfId="79" builtinId="9" hidden="1"/>
    <cellStyle name="Followed Hyperlink" xfId="80" builtinId="9" hidden="1"/>
    <cellStyle name="Followed Hyperlink" xfId="81" builtinId="9" hidden="1"/>
    <cellStyle name="Followed Hyperlink" xfId="82" builtinId="9" hidden="1"/>
    <cellStyle name="Followed Hyperlink" xfId="83" builtinId="9" hidden="1"/>
    <cellStyle name="Followed Hyperlink" xfId="84" builtinId="9" hidden="1"/>
    <cellStyle name="Followed Hyperlink" xfId="85" builtinId="9" hidden="1"/>
    <cellStyle name="Followed Hyperlink" xfId="86" builtinId="9" hidden="1"/>
    <cellStyle name="Followed Hyperlink" xfId="87" builtinId="9" hidden="1"/>
    <cellStyle name="Followed Hyperlink" xfId="88" builtinId="9" hidden="1"/>
    <cellStyle name="Followed Hyperlink" xfId="89" builtinId="9" hidden="1"/>
    <cellStyle name="Followed Hyperlink" xfId="90" builtinId="9" hidden="1"/>
    <cellStyle name="Followed Hyperlink" xfId="91" builtinId="9" hidden="1"/>
    <cellStyle name="Followed Hyperlink" xfId="92" builtinId="9" hidden="1"/>
    <cellStyle name="Followed Hyperlink" xfId="93" builtinId="9" hidden="1"/>
    <cellStyle name="Followed Hyperlink" xfId="94" builtinId="9" hidden="1"/>
    <cellStyle name="Followed Hyperlink" xfId="95" builtinId="9" hidden="1"/>
    <cellStyle name="Followed Hyperlink" xfId="96" builtinId="9" hidden="1"/>
    <cellStyle name="Followed Hyperlink" xfId="97" builtinId="9" hidden="1"/>
    <cellStyle name="Followed Hyperlink" xfId="98" builtinId="9" hidden="1"/>
    <cellStyle name="Followed Hyperlink" xfId="99" builtinId="9" hidden="1"/>
    <cellStyle name="Followed Hyperlink" xfId="100" builtinId="9" hidden="1"/>
    <cellStyle name="Followed Hyperlink" xfId="101" builtinId="9" hidden="1"/>
    <cellStyle name="Followed Hyperlink" xfId="102" builtinId="9" hidden="1"/>
    <cellStyle name="Followed Hyperlink" xfId="103" builtinId="9" hidden="1"/>
    <cellStyle name="Followed Hyperlink" xfId="104" builtinId="9" hidden="1"/>
    <cellStyle name="Followed Hyperlink" xfId="105" builtinId="9" hidden="1"/>
    <cellStyle name="Followed Hyperlink" xfId="106" builtinId="9" hidden="1"/>
    <cellStyle name="Followed Hyperlink" xfId="107" builtinId="9" hidden="1"/>
    <cellStyle name="Followed Hyperlink" xfId="108" builtinId="9" hidden="1"/>
    <cellStyle name="Followed Hyperlink" xfId="109" builtinId="9" hidden="1"/>
    <cellStyle name="Followed Hyperlink" xfId="110" builtinId="9" hidden="1"/>
    <cellStyle name="Followed Hyperlink" xfId="111" builtinId="9" hidden="1"/>
    <cellStyle name="Followed Hyperlink" xfId="112" builtinId="9" hidden="1"/>
    <cellStyle name="Followed Hyperlink" xfId="113" builtinId="9" hidden="1"/>
    <cellStyle name="Followed Hyperlink" xfId="114" builtinId="9" hidden="1"/>
    <cellStyle name="Followed Hyperlink" xfId="115" builtinId="9" hidden="1"/>
    <cellStyle name="Followed Hyperlink" xfId="116" builtinId="9" hidden="1"/>
    <cellStyle name="Followed Hyperlink" xfId="117" builtinId="9" hidden="1"/>
    <cellStyle name="Followed Hyperlink" xfId="118" builtinId="9" hidden="1"/>
    <cellStyle name="Followed Hyperlink" xfId="119" builtinId="9" hidden="1"/>
    <cellStyle name="Followed Hyperlink" xfId="120" builtinId="9" hidden="1"/>
    <cellStyle name="Followed Hyperlink" xfId="121" builtinId="9" hidden="1"/>
    <cellStyle name="Followed Hyperlink" xfId="122" builtinId="9" hidden="1"/>
    <cellStyle name="Followed Hyperlink" xfId="123" builtinId="9" hidden="1"/>
    <cellStyle name="Followed Hyperlink" xfId="124" builtinId="9" hidden="1"/>
    <cellStyle name="Followed Hyperlink" xfId="125" builtinId="9" hidden="1"/>
    <cellStyle name="Followed Hyperlink" xfId="126" builtinId="9" hidden="1"/>
    <cellStyle name="Followed Hyperlink" xfId="127" builtinId="9" hidden="1"/>
    <cellStyle name="Followed Hyperlink" xfId="128" builtinId="9" hidden="1"/>
    <cellStyle name="Followed Hyperlink" xfId="129" builtinId="9" hidden="1"/>
    <cellStyle name="Followed Hyperlink" xfId="130" builtinId="9" hidden="1"/>
    <cellStyle name="Followed Hyperlink" xfId="131" builtinId="9" hidden="1"/>
    <cellStyle name="Followed Hyperlink" xfId="132" builtinId="9" hidden="1"/>
    <cellStyle name="Followed Hyperlink" xfId="133" builtinId="9" hidden="1"/>
    <cellStyle name="Followed Hyperlink" xfId="134" builtinId="9" hidden="1"/>
    <cellStyle name="Followed Hyperlink" xfId="135" builtinId="9" hidden="1"/>
    <cellStyle name="Followed Hyperlink" xfId="136" builtinId="9" hidden="1"/>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7"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cellStyle name="Normal" xfId="0" builtinId="0"/>
    <cellStyle name="Percent" xfId="230" builtinId="5"/>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06/relationships/vbaProject" Target="vbaProject.bin"/><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482600</xdr:colOff>
      <xdr:row>4</xdr:row>
      <xdr:rowOff>139700</xdr:rowOff>
    </xdr:from>
    <xdr:to>
      <xdr:col>5</xdr:col>
      <xdr:colOff>579702</xdr:colOff>
      <xdr:row>18</xdr:row>
      <xdr:rowOff>177800</xdr:rowOff>
    </xdr:to>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33600" y="1003300"/>
          <a:ext cx="2573602" cy="27051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1196620</xdr:colOff>
      <xdr:row>127</xdr:row>
      <xdr:rowOff>14110</xdr:rowOff>
    </xdr:from>
    <xdr:to>
      <xdr:col>0</xdr:col>
      <xdr:colOff>2590800</xdr:colOff>
      <xdr:row>128</xdr:row>
      <xdr:rowOff>25399</xdr:rowOff>
    </xdr:to>
    <xdr:sp macro="[0]!NSF6_Click" textlink="">
      <xdr:nvSpPr>
        <xdr:cNvPr id="44" name="Rounded Rectangle 43">
          <a:extLst>
            <a:ext uri="{FF2B5EF4-FFF2-40B4-BE49-F238E27FC236}">
              <a16:creationId xmlns:a16="http://schemas.microsoft.com/office/drawing/2014/main" id="{00000000-0008-0000-0200-00002C000000}"/>
            </a:ext>
          </a:extLst>
        </xdr:cNvPr>
        <xdr:cNvSpPr/>
      </xdr:nvSpPr>
      <xdr:spPr>
        <a:xfrm>
          <a:off x="1196620" y="24017110"/>
          <a:ext cx="1394180" cy="201789"/>
        </a:xfrm>
        <a:prstGeom prst="roundRect">
          <a:avLst/>
        </a:prstGeom>
        <a:solidFill>
          <a:schemeClr val="bg1"/>
        </a:solidFill>
        <a:ln>
          <a:solidFill>
            <a:schemeClr val="tx1"/>
          </a:solidFill>
        </a:ln>
      </xdr:spPr>
      <xdr:style>
        <a:lnRef idx="1">
          <a:schemeClr val="accent1"/>
        </a:lnRef>
        <a:fillRef idx="3">
          <a:schemeClr val="accent1"/>
        </a:fillRef>
        <a:effectRef idx="2">
          <a:schemeClr val="accent1"/>
        </a:effectRef>
        <a:fontRef idx="minor">
          <a:schemeClr val="lt1"/>
        </a:fontRef>
      </xdr:style>
      <xdr:txBody>
        <a:bodyPr vertOverflow="clip" horzOverflow="clip" lIns="0" tIns="0" rIns="0" bIns="0" rtlCol="0" anchor="ctr" anchorCtr="1"/>
        <a:lstStyle/>
        <a:p>
          <a:pPr algn="l"/>
          <a:r>
            <a:rPr lang="en-US" sz="1300" baseline="0">
              <a:solidFill>
                <a:schemeClr val="tx1"/>
              </a:solidFill>
            </a:rPr>
            <a:t>NSF Yr 6 - 10</a:t>
          </a:r>
        </a:p>
      </xdr:txBody>
    </xdr:sp>
    <xdr:clientData/>
  </xdr:twoCellAnchor>
  <xdr:twoCellAnchor>
    <xdr:from>
      <xdr:col>0</xdr:col>
      <xdr:colOff>1188153</xdr:colOff>
      <xdr:row>125</xdr:row>
      <xdr:rowOff>0</xdr:rowOff>
    </xdr:from>
    <xdr:to>
      <xdr:col>0</xdr:col>
      <xdr:colOff>2616200</xdr:colOff>
      <xdr:row>126</xdr:row>
      <xdr:rowOff>12700</xdr:rowOff>
    </xdr:to>
    <xdr:sp macro="[0]!NSF1_Click" textlink="">
      <xdr:nvSpPr>
        <xdr:cNvPr id="49" name="Rounded Rectangle 48">
          <a:extLst>
            <a:ext uri="{FF2B5EF4-FFF2-40B4-BE49-F238E27FC236}">
              <a16:creationId xmlns:a16="http://schemas.microsoft.com/office/drawing/2014/main" id="{00000000-0008-0000-0200-000031000000}"/>
            </a:ext>
          </a:extLst>
        </xdr:cNvPr>
        <xdr:cNvSpPr/>
      </xdr:nvSpPr>
      <xdr:spPr>
        <a:xfrm>
          <a:off x="1188153" y="23622000"/>
          <a:ext cx="1428047" cy="203200"/>
        </a:xfrm>
        <a:prstGeom prst="roundRect">
          <a:avLst/>
        </a:prstGeom>
        <a:solidFill>
          <a:schemeClr val="bg1"/>
        </a:solidFill>
        <a:ln>
          <a:solidFill>
            <a:schemeClr val="tx1"/>
          </a:solidFill>
        </a:ln>
      </xdr:spPr>
      <xdr:style>
        <a:lnRef idx="1">
          <a:schemeClr val="accent1"/>
        </a:lnRef>
        <a:fillRef idx="3">
          <a:schemeClr val="accent1"/>
        </a:fillRef>
        <a:effectRef idx="2">
          <a:schemeClr val="accent1"/>
        </a:effectRef>
        <a:fontRef idx="minor">
          <a:schemeClr val="lt1"/>
        </a:fontRef>
      </xdr:style>
      <xdr:txBody>
        <a:bodyPr vertOverflow="clip" horzOverflow="clip" lIns="0" tIns="0" rIns="0" bIns="0" rtlCol="0" anchor="ctr" anchorCtr="1"/>
        <a:lstStyle/>
        <a:p>
          <a:pPr algn="l"/>
          <a:r>
            <a:rPr lang="en-US" sz="1300" baseline="0">
              <a:solidFill>
                <a:schemeClr val="tx1"/>
              </a:solidFill>
            </a:rPr>
            <a:t>NSF Yr 1 - 5</a:t>
          </a:r>
        </a:p>
      </xdr:txBody>
    </xdr:sp>
    <xdr:clientData/>
  </xdr:twoCellAnchor>
  <xdr:twoCellAnchor>
    <xdr:from>
      <xdr:col>0</xdr:col>
      <xdr:colOff>759178</xdr:colOff>
      <xdr:row>25</xdr:row>
      <xdr:rowOff>11287</xdr:rowOff>
    </xdr:from>
    <xdr:to>
      <xdr:col>0</xdr:col>
      <xdr:colOff>3213099</xdr:colOff>
      <xdr:row>25</xdr:row>
      <xdr:rowOff>177800</xdr:rowOff>
    </xdr:to>
    <xdr:sp macro="[0]!AddPerson" textlink="">
      <xdr:nvSpPr>
        <xdr:cNvPr id="37" name="Rounded Rectangle 36">
          <a:extLst>
            <a:ext uri="{FF2B5EF4-FFF2-40B4-BE49-F238E27FC236}">
              <a16:creationId xmlns:a16="http://schemas.microsoft.com/office/drawing/2014/main" id="{00000000-0008-0000-0200-000025000000}"/>
            </a:ext>
          </a:extLst>
        </xdr:cNvPr>
        <xdr:cNvSpPr/>
      </xdr:nvSpPr>
      <xdr:spPr>
        <a:xfrm>
          <a:off x="759178" y="4773787"/>
          <a:ext cx="2453921" cy="166513"/>
        </a:xfrm>
        <a:prstGeom prst="roundRect">
          <a:avLst/>
        </a:prstGeom>
        <a:solidFill>
          <a:schemeClr val="bg1"/>
        </a:solidFill>
        <a:ln>
          <a:solidFill>
            <a:schemeClr val="tx1"/>
          </a:solidFill>
        </a:ln>
      </xdr:spPr>
      <xdr:style>
        <a:lnRef idx="1">
          <a:schemeClr val="accent1"/>
        </a:lnRef>
        <a:fillRef idx="3">
          <a:schemeClr val="accent1"/>
        </a:fillRef>
        <a:effectRef idx="2">
          <a:schemeClr val="accent1"/>
        </a:effectRef>
        <a:fontRef idx="minor">
          <a:schemeClr val="lt1"/>
        </a:fontRef>
      </xdr:style>
      <xdr:txBody>
        <a:bodyPr vertOverflow="clip" horzOverflow="clip" lIns="0" tIns="0" rIns="0" bIns="0" rtlCol="0" anchor="b" anchorCtr="1"/>
        <a:lstStyle/>
        <a:p>
          <a:pPr algn="ctr"/>
          <a:r>
            <a:rPr lang="en-US" sz="1800" b="1" baseline="0">
              <a:solidFill>
                <a:srgbClr val="008000"/>
              </a:solidFill>
              <a:effectLst/>
            </a:rPr>
            <a:t>+</a:t>
          </a:r>
          <a:r>
            <a:rPr lang="en-US" sz="1300" baseline="0">
              <a:solidFill>
                <a:schemeClr val="tx1"/>
              </a:solidFill>
            </a:rPr>
            <a:t> Add Person </a:t>
          </a:r>
          <a:r>
            <a:rPr lang="en-US" sz="1800" b="1" baseline="0">
              <a:solidFill>
                <a:srgbClr val="008000"/>
              </a:solidFill>
              <a:effectLst/>
            </a:rPr>
            <a:t>+</a:t>
          </a:r>
          <a:endParaRPr lang="en-US" sz="1300" b="1" baseline="0">
            <a:solidFill>
              <a:srgbClr val="008000"/>
            </a:solidFill>
            <a:effectLst/>
          </a:endParaRPr>
        </a:p>
      </xdr:txBody>
    </xdr:sp>
    <xdr:clientData fPrintsWithSheet="0"/>
  </xdr:twoCellAnchor>
  <xdr:twoCellAnchor>
    <xdr:from>
      <xdr:col>0</xdr:col>
      <xdr:colOff>558798</xdr:colOff>
      <xdr:row>38</xdr:row>
      <xdr:rowOff>22579</xdr:rowOff>
    </xdr:from>
    <xdr:to>
      <xdr:col>0</xdr:col>
      <xdr:colOff>3136899</xdr:colOff>
      <xdr:row>38</xdr:row>
      <xdr:rowOff>177801</xdr:rowOff>
    </xdr:to>
    <xdr:sp macro="[0]!AddDomesticTravel" textlink="">
      <xdr:nvSpPr>
        <xdr:cNvPr id="38" name="Rounded Rectangle 37">
          <a:extLst>
            <a:ext uri="{FF2B5EF4-FFF2-40B4-BE49-F238E27FC236}">
              <a16:creationId xmlns:a16="http://schemas.microsoft.com/office/drawing/2014/main" id="{00000000-0008-0000-0200-000026000000}"/>
            </a:ext>
          </a:extLst>
        </xdr:cNvPr>
        <xdr:cNvSpPr/>
      </xdr:nvSpPr>
      <xdr:spPr>
        <a:xfrm>
          <a:off x="558798" y="7261579"/>
          <a:ext cx="2578101" cy="155222"/>
        </a:xfrm>
        <a:prstGeom prst="roundRect">
          <a:avLst/>
        </a:prstGeom>
        <a:solidFill>
          <a:schemeClr val="bg1"/>
        </a:solidFill>
        <a:ln>
          <a:solidFill>
            <a:schemeClr val="tx1"/>
          </a:solidFill>
        </a:ln>
      </xdr:spPr>
      <xdr:style>
        <a:lnRef idx="1">
          <a:schemeClr val="accent1"/>
        </a:lnRef>
        <a:fillRef idx="3">
          <a:schemeClr val="accent1"/>
        </a:fillRef>
        <a:effectRef idx="2">
          <a:schemeClr val="accent1"/>
        </a:effectRef>
        <a:fontRef idx="minor">
          <a:schemeClr val="lt1"/>
        </a:fontRef>
      </xdr:style>
      <xdr:txBody>
        <a:bodyPr vertOverflow="clip" horzOverflow="clip" lIns="0" tIns="0" rIns="0" bIns="0" rtlCol="0" anchor="b" anchorCtr="1"/>
        <a:lstStyle/>
        <a:p>
          <a:pPr algn="ctr"/>
          <a:r>
            <a:rPr lang="en-US" sz="1800" b="1" baseline="0">
              <a:solidFill>
                <a:srgbClr val="008000"/>
              </a:solidFill>
            </a:rPr>
            <a:t>+</a:t>
          </a:r>
          <a:r>
            <a:rPr lang="en-US" sz="1300" baseline="0">
              <a:solidFill>
                <a:schemeClr val="tx1"/>
              </a:solidFill>
            </a:rPr>
            <a:t> Add Domestic Travel </a:t>
          </a:r>
          <a:r>
            <a:rPr lang="en-US" sz="1800" b="1" baseline="0">
              <a:solidFill>
                <a:srgbClr val="008000"/>
              </a:solidFill>
            </a:rPr>
            <a:t>+</a:t>
          </a:r>
          <a:endParaRPr lang="en-US" sz="1300" b="1" baseline="0">
            <a:solidFill>
              <a:srgbClr val="008000"/>
            </a:solidFill>
          </a:endParaRPr>
        </a:p>
      </xdr:txBody>
    </xdr:sp>
    <xdr:clientData fPrintsWithSheet="0"/>
  </xdr:twoCellAnchor>
  <xdr:twoCellAnchor>
    <xdr:from>
      <xdr:col>0</xdr:col>
      <xdr:colOff>584200</xdr:colOff>
      <xdr:row>43</xdr:row>
      <xdr:rowOff>19754</xdr:rowOff>
    </xdr:from>
    <xdr:to>
      <xdr:col>0</xdr:col>
      <xdr:colOff>3073400</xdr:colOff>
      <xdr:row>44</xdr:row>
      <xdr:rowOff>0</xdr:rowOff>
    </xdr:to>
    <xdr:sp macro="[0]!AddForeignTravel" textlink="">
      <xdr:nvSpPr>
        <xdr:cNvPr id="39" name="Rounded Rectangle 38">
          <a:extLst>
            <a:ext uri="{FF2B5EF4-FFF2-40B4-BE49-F238E27FC236}">
              <a16:creationId xmlns:a16="http://schemas.microsoft.com/office/drawing/2014/main" id="{00000000-0008-0000-0200-000027000000}"/>
            </a:ext>
          </a:extLst>
        </xdr:cNvPr>
        <xdr:cNvSpPr/>
      </xdr:nvSpPr>
      <xdr:spPr>
        <a:xfrm>
          <a:off x="584200" y="8211254"/>
          <a:ext cx="2489200" cy="170746"/>
        </a:xfrm>
        <a:prstGeom prst="roundRect">
          <a:avLst/>
        </a:prstGeom>
        <a:solidFill>
          <a:schemeClr val="bg1"/>
        </a:solidFill>
        <a:ln>
          <a:solidFill>
            <a:schemeClr val="tx1"/>
          </a:solidFill>
        </a:ln>
      </xdr:spPr>
      <xdr:style>
        <a:lnRef idx="1">
          <a:schemeClr val="accent1"/>
        </a:lnRef>
        <a:fillRef idx="3">
          <a:schemeClr val="accent1"/>
        </a:fillRef>
        <a:effectRef idx="2">
          <a:schemeClr val="accent1"/>
        </a:effectRef>
        <a:fontRef idx="minor">
          <a:schemeClr val="lt1"/>
        </a:fontRef>
      </xdr:style>
      <xdr:txBody>
        <a:bodyPr vertOverflow="clip" horzOverflow="clip" lIns="0" tIns="0" rIns="0" bIns="0" rtlCol="0" anchor="b" anchorCtr="1"/>
        <a:lstStyle/>
        <a:p>
          <a:pPr algn="l"/>
          <a:r>
            <a:rPr lang="en-US" sz="1800" b="1" baseline="0">
              <a:solidFill>
                <a:srgbClr val="008000"/>
              </a:solidFill>
            </a:rPr>
            <a:t>+</a:t>
          </a:r>
          <a:r>
            <a:rPr lang="en-US" sz="1300" baseline="0">
              <a:solidFill>
                <a:schemeClr val="tx1"/>
              </a:solidFill>
            </a:rPr>
            <a:t> Add Foreign Travel </a:t>
          </a:r>
          <a:r>
            <a:rPr lang="en-US" sz="1800" b="1" baseline="0">
              <a:solidFill>
                <a:srgbClr val="008000"/>
              </a:solidFill>
            </a:rPr>
            <a:t>+</a:t>
          </a:r>
          <a:endParaRPr lang="en-US" sz="1300" b="1" baseline="0">
            <a:solidFill>
              <a:srgbClr val="008000"/>
            </a:solidFill>
          </a:endParaRPr>
        </a:p>
      </xdr:txBody>
    </xdr:sp>
    <xdr:clientData fPrintsWithSheet="0"/>
  </xdr:twoCellAnchor>
  <xdr:twoCellAnchor>
    <xdr:from>
      <xdr:col>0</xdr:col>
      <xdr:colOff>680156</xdr:colOff>
      <xdr:row>51</xdr:row>
      <xdr:rowOff>16933</xdr:rowOff>
    </xdr:from>
    <xdr:to>
      <xdr:col>0</xdr:col>
      <xdr:colOff>3136900</xdr:colOff>
      <xdr:row>51</xdr:row>
      <xdr:rowOff>177800</xdr:rowOff>
    </xdr:to>
    <xdr:sp macro="[0]!AddEquipment" textlink="">
      <xdr:nvSpPr>
        <xdr:cNvPr id="40" name="Rounded Rectangle 39">
          <a:extLst>
            <a:ext uri="{FF2B5EF4-FFF2-40B4-BE49-F238E27FC236}">
              <a16:creationId xmlns:a16="http://schemas.microsoft.com/office/drawing/2014/main" id="{00000000-0008-0000-0200-000028000000}"/>
            </a:ext>
          </a:extLst>
        </xdr:cNvPr>
        <xdr:cNvSpPr/>
      </xdr:nvSpPr>
      <xdr:spPr>
        <a:xfrm>
          <a:off x="680156" y="9732433"/>
          <a:ext cx="2456744" cy="160867"/>
        </a:xfrm>
        <a:prstGeom prst="roundRect">
          <a:avLst/>
        </a:prstGeom>
        <a:solidFill>
          <a:schemeClr val="bg1"/>
        </a:solidFill>
        <a:ln>
          <a:solidFill>
            <a:schemeClr val="tx1"/>
          </a:solidFill>
        </a:ln>
      </xdr:spPr>
      <xdr:style>
        <a:lnRef idx="1">
          <a:schemeClr val="accent1"/>
        </a:lnRef>
        <a:fillRef idx="3">
          <a:schemeClr val="accent1"/>
        </a:fillRef>
        <a:effectRef idx="2">
          <a:schemeClr val="accent1"/>
        </a:effectRef>
        <a:fontRef idx="minor">
          <a:schemeClr val="lt1"/>
        </a:fontRef>
      </xdr:style>
      <xdr:txBody>
        <a:bodyPr vertOverflow="clip" horzOverflow="clip" lIns="0" tIns="0" rIns="0" bIns="0" rtlCol="0" anchor="b" anchorCtr="1"/>
        <a:lstStyle/>
        <a:p>
          <a:pPr algn="l"/>
          <a:r>
            <a:rPr lang="en-US" sz="1800" b="1" baseline="0">
              <a:solidFill>
                <a:srgbClr val="008000"/>
              </a:solidFill>
            </a:rPr>
            <a:t>+</a:t>
          </a:r>
          <a:r>
            <a:rPr lang="en-US" sz="1300" baseline="0">
              <a:solidFill>
                <a:schemeClr val="tx1"/>
              </a:solidFill>
            </a:rPr>
            <a:t> Add Equipment </a:t>
          </a:r>
          <a:r>
            <a:rPr lang="en-US" sz="1800" b="1" baseline="0">
              <a:solidFill>
                <a:srgbClr val="008000"/>
              </a:solidFill>
            </a:rPr>
            <a:t>+</a:t>
          </a:r>
          <a:endParaRPr lang="en-US" sz="1300" b="1" baseline="0">
            <a:solidFill>
              <a:srgbClr val="008000"/>
            </a:solidFill>
          </a:endParaRPr>
        </a:p>
      </xdr:txBody>
    </xdr:sp>
    <xdr:clientData fPrintsWithSheet="0"/>
  </xdr:twoCellAnchor>
  <xdr:twoCellAnchor>
    <xdr:from>
      <xdr:col>0</xdr:col>
      <xdr:colOff>663222</xdr:colOff>
      <xdr:row>65</xdr:row>
      <xdr:rowOff>15521</xdr:rowOff>
    </xdr:from>
    <xdr:to>
      <xdr:col>0</xdr:col>
      <xdr:colOff>2895600</xdr:colOff>
      <xdr:row>65</xdr:row>
      <xdr:rowOff>177800</xdr:rowOff>
    </xdr:to>
    <xdr:sp macro="[0]!AddSubcontract" textlink="">
      <xdr:nvSpPr>
        <xdr:cNvPr id="50" name="Rounded Rectangle 49">
          <a:extLst>
            <a:ext uri="{FF2B5EF4-FFF2-40B4-BE49-F238E27FC236}">
              <a16:creationId xmlns:a16="http://schemas.microsoft.com/office/drawing/2014/main" id="{00000000-0008-0000-0200-000032000000}"/>
            </a:ext>
          </a:extLst>
        </xdr:cNvPr>
        <xdr:cNvSpPr/>
      </xdr:nvSpPr>
      <xdr:spPr>
        <a:xfrm>
          <a:off x="663222" y="12398021"/>
          <a:ext cx="2232378" cy="162279"/>
        </a:xfrm>
        <a:prstGeom prst="roundRect">
          <a:avLst/>
        </a:prstGeom>
        <a:solidFill>
          <a:schemeClr val="bg1"/>
        </a:solidFill>
        <a:ln>
          <a:solidFill>
            <a:schemeClr val="tx1"/>
          </a:solidFill>
        </a:ln>
      </xdr:spPr>
      <xdr:style>
        <a:lnRef idx="1">
          <a:schemeClr val="accent1"/>
        </a:lnRef>
        <a:fillRef idx="3">
          <a:schemeClr val="accent1"/>
        </a:fillRef>
        <a:effectRef idx="2">
          <a:schemeClr val="accent1"/>
        </a:effectRef>
        <a:fontRef idx="minor">
          <a:schemeClr val="lt1"/>
        </a:fontRef>
      </xdr:style>
      <xdr:txBody>
        <a:bodyPr vertOverflow="clip" horzOverflow="clip" lIns="0" tIns="0" rIns="0" bIns="0" rtlCol="0" anchor="b" anchorCtr="1"/>
        <a:lstStyle/>
        <a:p>
          <a:pPr algn="l"/>
          <a:r>
            <a:rPr lang="en-US" sz="1800" b="1" baseline="0">
              <a:solidFill>
                <a:srgbClr val="008000"/>
              </a:solidFill>
            </a:rPr>
            <a:t>+</a:t>
          </a:r>
          <a:r>
            <a:rPr lang="en-US" sz="1300" baseline="0">
              <a:solidFill>
                <a:schemeClr val="tx1"/>
              </a:solidFill>
            </a:rPr>
            <a:t> Add Subrecipient </a:t>
          </a:r>
          <a:r>
            <a:rPr lang="en-US" sz="1800" b="1" baseline="0">
              <a:solidFill>
                <a:srgbClr val="008000"/>
              </a:solidFill>
            </a:rPr>
            <a:t>+</a:t>
          </a:r>
          <a:endParaRPr lang="en-US" sz="1300" b="1" baseline="0">
            <a:solidFill>
              <a:srgbClr val="008000"/>
            </a:solidFill>
          </a:endParaRPr>
        </a:p>
      </xdr:txBody>
    </xdr:sp>
    <xdr:clientData fPrintsWithSheet="0"/>
  </xdr:twoCellAnchor>
  <xdr:twoCellAnchor>
    <xdr:from>
      <xdr:col>0</xdr:col>
      <xdr:colOff>749301</xdr:colOff>
      <xdr:row>74</xdr:row>
      <xdr:rowOff>15520</xdr:rowOff>
    </xdr:from>
    <xdr:to>
      <xdr:col>0</xdr:col>
      <xdr:colOff>2870200</xdr:colOff>
      <xdr:row>74</xdr:row>
      <xdr:rowOff>177800</xdr:rowOff>
    </xdr:to>
    <xdr:sp macro="[0]!AddCampus" textlink="">
      <xdr:nvSpPr>
        <xdr:cNvPr id="51" name="Rounded Rectangle 50">
          <a:extLst>
            <a:ext uri="{FF2B5EF4-FFF2-40B4-BE49-F238E27FC236}">
              <a16:creationId xmlns:a16="http://schemas.microsoft.com/office/drawing/2014/main" id="{00000000-0008-0000-0200-000033000000}"/>
            </a:ext>
          </a:extLst>
        </xdr:cNvPr>
        <xdr:cNvSpPr/>
      </xdr:nvSpPr>
      <xdr:spPr>
        <a:xfrm>
          <a:off x="749301" y="14112520"/>
          <a:ext cx="2120899" cy="162280"/>
        </a:xfrm>
        <a:prstGeom prst="roundRect">
          <a:avLst/>
        </a:prstGeom>
        <a:solidFill>
          <a:schemeClr val="bg1"/>
        </a:solidFill>
        <a:ln>
          <a:solidFill>
            <a:schemeClr val="tx1"/>
          </a:solidFill>
        </a:ln>
      </xdr:spPr>
      <xdr:style>
        <a:lnRef idx="1">
          <a:schemeClr val="accent1"/>
        </a:lnRef>
        <a:fillRef idx="3">
          <a:schemeClr val="accent1"/>
        </a:fillRef>
        <a:effectRef idx="2">
          <a:schemeClr val="accent1"/>
        </a:effectRef>
        <a:fontRef idx="minor">
          <a:schemeClr val="lt1"/>
        </a:fontRef>
      </xdr:style>
      <xdr:txBody>
        <a:bodyPr vertOverflow="clip" horzOverflow="clip" lIns="0" tIns="0" rIns="0" bIns="0" rtlCol="0" anchor="b" anchorCtr="1"/>
        <a:lstStyle/>
        <a:p>
          <a:pPr algn="l"/>
          <a:r>
            <a:rPr lang="en-US" sz="1800" b="1" baseline="0">
              <a:solidFill>
                <a:srgbClr val="008000"/>
              </a:solidFill>
            </a:rPr>
            <a:t>+</a:t>
          </a:r>
          <a:r>
            <a:rPr lang="en-US" sz="1300" baseline="0">
              <a:solidFill>
                <a:schemeClr val="tx1"/>
              </a:solidFill>
            </a:rPr>
            <a:t> Add Campus </a:t>
          </a:r>
          <a:r>
            <a:rPr lang="en-US" sz="1800" b="1" baseline="0">
              <a:solidFill>
                <a:srgbClr val="008000"/>
              </a:solidFill>
            </a:rPr>
            <a:t>+</a:t>
          </a:r>
          <a:endParaRPr lang="en-US" sz="1300" b="1" baseline="0">
            <a:solidFill>
              <a:srgbClr val="008000"/>
            </a:solidFill>
          </a:endParaRPr>
        </a:p>
      </xdr:txBody>
    </xdr:sp>
    <xdr:clientData fPrintsWithSheet="0"/>
  </xdr:twoCellAnchor>
  <xdr:twoCellAnchor>
    <xdr:from>
      <xdr:col>0</xdr:col>
      <xdr:colOff>702734</xdr:colOff>
      <xdr:row>79</xdr:row>
      <xdr:rowOff>12697</xdr:rowOff>
    </xdr:from>
    <xdr:to>
      <xdr:col>0</xdr:col>
      <xdr:colOff>2857500</xdr:colOff>
      <xdr:row>80</xdr:row>
      <xdr:rowOff>12700</xdr:rowOff>
    </xdr:to>
    <xdr:sp macro="[0]!AddDirectCost" textlink="">
      <xdr:nvSpPr>
        <xdr:cNvPr id="52" name="Rounded Rectangle 51">
          <a:extLst>
            <a:ext uri="{FF2B5EF4-FFF2-40B4-BE49-F238E27FC236}">
              <a16:creationId xmlns:a16="http://schemas.microsoft.com/office/drawing/2014/main" id="{00000000-0008-0000-0200-000034000000}"/>
            </a:ext>
          </a:extLst>
        </xdr:cNvPr>
        <xdr:cNvSpPr/>
      </xdr:nvSpPr>
      <xdr:spPr>
        <a:xfrm>
          <a:off x="702734" y="15062197"/>
          <a:ext cx="2154766" cy="190503"/>
        </a:xfrm>
        <a:prstGeom prst="roundRect">
          <a:avLst/>
        </a:prstGeom>
        <a:solidFill>
          <a:schemeClr val="bg1"/>
        </a:solidFill>
        <a:ln>
          <a:solidFill>
            <a:schemeClr val="tx1"/>
          </a:solidFill>
        </a:ln>
      </xdr:spPr>
      <xdr:style>
        <a:lnRef idx="1">
          <a:schemeClr val="accent1"/>
        </a:lnRef>
        <a:fillRef idx="3">
          <a:schemeClr val="accent1"/>
        </a:fillRef>
        <a:effectRef idx="2">
          <a:schemeClr val="accent1"/>
        </a:effectRef>
        <a:fontRef idx="minor">
          <a:schemeClr val="lt1"/>
        </a:fontRef>
      </xdr:style>
      <xdr:txBody>
        <a:bodyPr vertOverflow="clip" horzOverflow="clip" lIns="0" tIns="0" rIns="0" bIns="0" rtlCol="0" anchor="b" anchorCtr="1"/>
        <a:lstStyle/>
        <a:p>
          <a:pPr algn="l"/>
          <a:r>
            <a:rPr lang="en-US" sz="1800" b="1" baseline="0">
              <a:solidFill>
                <a:srgbClr val="008000"/>
              </a:solidFill>
            </a:rPr>
            <a:t>+</a:t>
          </a:r>
          <a:r>
            <a:rPr lang="en-US" sz="1300" baseline="0">
              <a:solidFill>
                <a:schemeClr val="tx1"/>
              </a:solidFill>
            </a:rPr>
            <a:t> Add Direct Cost </a:t>
          </a:r>
          <a:r>
            <a:rPr lang="en-US" sz="1800" b="1" baseline="0">
              <a:solidFill>
                <a:srgbClr val="008000"/>
              </a:solidFill>
            </a:rPr>
            <a:t>+</a:t>
          </a:r>
          <a:endParaRPr lang="en-US" sz="1300" b="1" baseline="0">
            <a:solidFill>
              <a:srgbClr val="008000"/>
            </a:solidFill>
          </a:endParaRPr>
        </a:p>
      </xdr:txBody>
    </xdr:sp>
    <xdr:clientData fPrintsWithSheet="0"/>
  </xdr:twoCellAnchor>
  <xdr:twoCellAnchor>
    <xdr:from>
      <xdr:col>0</xdr:col>
      <xdr:colOff>537633</xdr:colOff>
      <xdr:row>56</xdr:row>
      <xdr:rowOff>23989</xdr:rowOff>
    </xdr:from>
    <xdr:to>
      <xdr:col>0</xdr:col>
      <xdr:colOff>3149600</xdr:colOff>
      <xdr:row>57</xdr:row>
      <xdr:rowOff>0</xdr:rowOff>
    </xdr:to>
    <xdr:sp macro="[0]!AddParticipantSupport" textlink="">
      <xdr:nvSpPr>
        <xdr:cNvPr id="53" name="Rounded Rectangle 52">
          <a:extLst>
            <a:ext uri="{FF2B5EF4-FFF2-40B4-BE49-F238E27FC236}">
              <a16:creationId xmlns:a16="http://schemas.microsoft.com/office/drawing/2014/main" id="{00000000-0008-0000-0200-000035000000}"/>
            </a:ext>
          </a:extLst>
        </xdr:cNvPr>
        <xdr:cNvSpPr/>
      </xdr:nvSpPr>
      <xdr:spPr>
        <a:xfrm>
          <a:off x="537633" y="10691989"/>
          <a:ext cx="2611967" cy="166511"/>
        </a:xfrm>
        <a:prstGeom prst="roundRect">
          <a:avLst/>
        </a:prstGeom>
        <a:solidFill>
          <a:schemeClr val="bg1"/>
        </a:solidFill>
        <a:ln>
          <a:solidFill>
            <a:schemeClr val="tx1"/>
          </a:solidFill>
        </a:ln>
      </xdr:spPr>
      <xdr:style>
        <a:lnRef idx="1">
          <a:schemeClr val="accent1"/>
        </a:lnRef>
        <a:fillRef idx="3">
          <a:schemeClr val="accent1"/>
        </a:fillRef>
        <a:effectRef idx="2">
          <a:schemeClr val="accent1"/>
        </a:effectRef>
        <a:fontRef idx="minor">
          <a:schemeClr val="lt1"/>
        </a:fontRef>
      </xdr:style>
      <xdr:txBody>
        <a:bodyPr vertOverflow="clip" horzOverflow="clip" lIns="0" tIns="0" rIns="0" bIns="0" rtlCol="0" anchor="b" anchorCtr="1"/>
        <a:lstStyle/>
        <a:p>
          <a:pPr algn="l"/>
          <a:r>
            <a:rPr lang="en-US" sz="1800" b="1" baseline="0">
              <a:solidFill>
                <a:srgbClr val="008000"/>
              </a:solidFill>
            </a:rPr>
            <a:t>+</a:t>
          </a:r>
          <a:r>
            <a:rPr lang="en-US" sz="1300" baseline="0">
              <a:solidFill>
                <a:schemeClr val="tx1"/>
              </a:solidFill>
            </a:rPr>
            <a:t> Add Participant Support </a:t>
          </a:r>
          <a:r>
            <a:rPr lang="en-US" sz="1800" b="1" baseline="0">
              <a:solidFill>
                <a:srgbClr val="008000"/>
              </a:solidFill>
            </a:rPr>
            <a:t>+</a:t>
          </a:r>
          <a:endParaRPr lang="en-US" sz="1300" b="1" baseline="0">
            <a:solidFill>
              <a:srgbClr val="008000"/>
            </a:solidFill>
          </a:endParaRPr>
        </a:p>
      </xdr:txBody>
    </xdr:sp>
    <xdr:clientData fPrintsWithSheet="0"/>
  </xdr:twoCellAnchor>
  <xdr:twoCellAnchor>
    <xdr:from>
      <xdr:col>0</xdr:col>
      <xdr:colOff>626535</xdr:colOff>
      <xdr:row>84</xdr:row>
      <xdr:rowOff>25399</xdr:rowOff>
    </xdr:from>
    <xdr:to>
      <xdr:col>0</xdr:col>
      <xdr:colOff>2882900</xdr:colOff>
      <xdr:row>85</xdr:row>
      <xdr:rowOff>0</xdr:rowOff>
    </xdr:to>
    <xdr:sp macro="[0]!AddNonStdCost" textlink="">
      <xdr:nvSpPr>
        <xdr:cNvPr id="54" name="Rounded Rectangle 53">
          <a:extLst>
            <a:ext uri="{FF2B5EF4-FFF2-40B4-BE49-F238E27FC236}">
              <a16:creationId xmlns:a16="http://schemas.microsoft.com/office/drawing/2014/main" id="{00000000-0008-0000-0200-000036000000}"/>
            </a:ext>
          </a:extLst>
        </xdr:cNvPr>
        <xdr:cNvSpPr/>
      </xdr:nvSpPr>
      <xdr:spPr>
        <a:xfrm>
          <a:off x="626535" y="16027399"/>
          <a:ext cx="2256365" cy="165101"/>
        </a:xfrm>
        <a:prstGeom prst="roundRect">
          <a:avLst/>
        </a:prstGeom>
        <a:solidFill>
          <a:schemeClr val="bg1"/>
        </a:solidFill>
        <a:ln>
          <a:solidFill>
            <a:schemeClr val="tx1"/>
          </a:solidFill>
        </a:ln>
      </xdr:spPr>
      <xdr:style>
        <a:lnRef idx="1">
          <a:schemeClr val="accent1"/>
        </a:lnRef>
        <a:fillRef idx="3">
          <a:schemeClr val="accent1"/>
        </a:fillRef>
        <a:effectRef idx="2">
          <a:schemeClr val="accent1"/>
        </a:effectRef>
        <a:fontRef idx="minor">
          <a:schemeClr val="lt1"/>
        </a:fontRef>
      </xdr:style>
      <xdr:txBody>
        <a:bodyPr vertOverflow="clip" horzOverflow="clip" lIns="0" tIns="0" rIns="0" bIns="0" rtlCol="0" anchor="b" anchorCtr="1"/>
        <a:lstStyle/>
        <a:p>
          <a:pPr algn="l"/>
          <a:r>
            <a:rPr lang="en-US" sz="1800" b="1" baseline="0">
              <a:solidFill>
                <a:srgbClr val="008000"/>
              </a:solidFill>
            </a:rPr>
            <a:t>+</a:t>
          </a:r>
          <a:r>
            <a:rPr lang="en-US" sz="1300" baseline="0">
              <a:solidFill>
                <a:schemeClr val="tx1"/>
              </a:solidFill>
            </a:rPr>
            <a:t> Add Non-Std Cost </a:t>
          </a:r>
          <a:r>
            <a:rPr lang="en-US" sz="1800" b="1" baseline="0">
              <a:solidFill>
                <a:srgbClr val="008000"/>
              </a:solidFill>
            </a:rPr>
            <a:t>+</a:t>
          </a:r>
          <a:endParaRPr lang="en-US" sz="1300" b="1" baseline="0">
            <a:solidFill>
              <a:srgbClr val="008000"/>
            </a:solidFill>
          </a:endParaRPr>
        </a:p>
      </xdr:txBody>
    </xdr:sp>
    <xdr:clientData fPrintsWithSheet="0"/>
  </xdr:twoCellAnchor>
  <xdr:twoCellAnchor>
    <xdr:from>
      <xdr:col>0</xdr:col>
      <xdr:colOff>1182508</xdr:colOff>
      <xdr:row>129</xdr:row>
      <xdr:rowOff>1412</xdr:rowOff>
    </xdr:from>
    <xdr:to>
      <xdr:col>0</xdr:col>
      <xdr:colOff>2590799</xdr:colOff>
      <xdr:row>130</xdr:row>
      <xdr:rowOff>0</xdr:rowOff>
    </xdr:to>
    <xdr:sp macro="[0]!NSFCum_Click" textlink="">
      <xdr:nvSpPr>
        <xdr:cNvPr id="55" name="Rounded Rectangle 54">
          <a:extLst>
            <a:ext uri="{FF2B5EF4-FFF2-40B4-BE49-F238E27FC236}">
              <a16:creationId xmlns:a16="http://schemas.microsoft.com/office/drawing/2014/main" id="{00000000-0008-0000-0200-000037000000}"/>
            </a:ext>
          </a:extLst>
        </xdr:cNvPr>
        <xdr:cNvSpPr/>
      </xdr:nvSpPr>
      <xdr:spPr>
        <a:xfrm>
          <a:off x="1182508" y="24385412"/>
          <a:ext cx="1408291" cy="189088"/>
        </a:xfrm>
        <a:prstGeom prst="roundRect">
          <a:avLst/>
        </a:prstGeom>
        <a:solidFill>
          <a:schemeClr val="bg1"/>
        </a:solidFill>
        <a:ln>
          <a:solidFill>
            <a:schemeClr val="tx1"/>
          </a:solidFill>
        </a:ln>
      </xdr:spPr>
      <xdr:style>
        <a:lnRef idx="1">
          <a:schemeClr val="accent1"/>
        </a:lnRef>
        <a:fillRef idx="3">
          <a:schemeClr val="accent1"/>
        </a:fillRef>
        <a:effectRef idx="2">
          <a:schemeClr val="accent1"/>
        </a:effectRef>
        <a:fontRef idx="minor">
          <a:schemeClr val="lt1"/>
        </a:fontRef>
      </xdr:style>
      <xdr:txBody>
        <a:bodyPr vertOverflow="clip" horzOverflow="clip" lIns="0" tIns="0" rIns="0" bIns="0" rtlCol="0" anchor="ctr" anchorCtr="1"/>
        <a:lstStyle/>
        <a:p>
          <a:pPr algn="l"/>
          <a:r>
            <a:rPr lang="en-US" sz="1300" baseline="0">
              <a:solidFill>
                <a:schemeClr val="tx1"/>
              </a:solidFill>
            </a:rPr>
            <a:t>NSF Cumulative</a:t>
          </a:r>
        </a:p>
      </xdr:txBody>
    </xdr:sp>
    <xdr:clientData/>
  </xdr:twoCellAnchor>
  <xdr:twoCellAnchor>
    <xdr:from>
      <xdr:col>2</xdr:col>
      <xdr:colOff>1045630</xdr:colOff>
      <xdr:row>125</xdr:row>
      <xdr:rowOff>0</xdr:rowOff>
    </xdr:from>
    <xdr:to>
      <xdr:col>3</xdr:col>
      <xdr:colOff>711197</xdr:colOff>
      <xdr:row>126</xdr:row>
      <xdr:rowOff>0</xdr:rowOff>
    </xdr:to>
    <xdr:sp macro="[0]!Grant1_Click" textlink="">
      <xdr:nvSpPr>
        <xdr:cNvPr id="61" name="Rounded Rectangle 60">
          <a:extLst>
            <a:ext uri="{FF2B5EF4-FFF2-40B4-BE49-F238E27FC236}">
              <a16:creationId xmlns:a16="http://schemas.microsoft.com/office/drawing/2014/main" id="{00000000-0008-0000-0200-00003D000000}"/>
            </a:ext>
          </a:extLst>
        </xdr:cNvPr>
        <xdr:cNvSpPr/>
      </xdr:nvSpPr>
      <xdr:spPr>
        <a:xfrm>
          <a:off x="5147730" y="23431500"/>
          <a:ext cx="872067" cy="190500"/>
        </a:xfrm>
        <a:prstGeom prst="roundRect">
          <a:avLst/>
        </a:prstGeom>
        <a:solidFill>
          <a:schemeClr val="bg1"/>
        </a:solidFill>
        <a:ln>
          <a:solidFill>
            <a:schemeClr val="tx1"/>
          </a:solidFill>
        </a:ln>
      </xdr:spPr>
      <xdr:style>
        <a:lnRef idx="1">
          <a:schemeClr val="accent1"/>
        </a:lnRef>
        <a:fillRef idx="3">
          <a:schemeClr val="accent1"/>
        </a:fillRef>
        <a:effectRef idx="2">
          <a:schemeClr val="accent1"/>
        </a:effectRef>
        <a:fontRef idx="minor">
          <a:schemeClr val="lt1"/>
        </a:fontRef>
      </xdr:style>
      <xdr:txBody>
        <a:bodyPr vertOverflow="clip" horzOverflow="clip" lIns="0" tIns="0" rIns="0" bIns="0" rtlCol="0" anchor="ctr" anchorCtr="1"/>
        <a:lstStyle/>
        <a:p>
          <a:pPr algn="l"/>
          <a:r>
            <a:rPr lang="en-US" sz="1300" baseline="0">
              <a:solidFill>
                <a:schemeClr val="tx1"/>
              </a:solidFill>
            </a:rPr>
            <a:t>Year 1 - 5</a:t>
          </a:r>
        </a:p>
      </xdr:txBody>
    </xdr:sp>
    <xdr:clientData/>
  </xdr:twoCellAnchor>
  <xdr:twoCellAnchor>
    <xdr:from>
      <xdr:col>2</xdr:col>
      <xdr:colOff>1045630</xdr:colOff>
      <xdr:row>127</xdr:row>
      <xdr:rowOff>0</xdr:rowOff>
    </xdr:from>
    <xdr:to>
      <xdr:col>3</xdr:col>
      <xdr:colOff>756353</xdr:colOff>
      <xdr:row>128</xdr:row>
      <xdr:rowOff>0</xdr:rowOff>
    </xdr:to>
    <xdr:sp macro="[0]!Grant6_Click" textlink="">
      <xdr:nvSpPr>
        <xdr:cNvPr id="68" name="Rounded Rectangle 67">
          <a:extLst>
            <a:ext uri="{FF2B5EF4-FFF2-40B4-BE49-F238E27FC236}">
              <a16:creationId xmlns:a16="http://schemas.microsoft.com/office/drawing/2014/main" id="{00000000-0008-0000-0200-000044000000}"/>
            </a:ext>
          </a:extLst>
        </xdr:cNvPr>
        <xdr:cNvSpPr/>
      </xdr:nvSpPr>
      <xdr:spPr>
        <a:xfrm>
          <a:off x="5147730" y="23812500"/>
          <a:ext cx="917223" cy="190500"/>
        </a:xfrm>
        <a:prstGeom prst="roundRect">
          <a:avLst/>
        </a:prstGeom>
        <a:solidFill>
          <a:schemeClr val="bg1"/>
        </a:solidFill>
        <a:ln>
          <a:solidFill>
            <a:schemeClr val="tx1"/>
          </a:solidFill>
        </a:ln>
      </xdr:spPr>
      <xdr:style>
        <a:lnRef idx="1">
          <a:schemeClr val="accent1"/>
        </a:lnRef>
        <a:fillRef idx="3">
          <a:schemeClr val="accent1"/>
        </a:fillRef>
        <a:effectRef idx="2">
          <a:schemeClr val="accent1"/>
        </a:effectRef>
        <a:fontRef idx="minor">
          <a:schemeClr val="lt1"/>
        </a:fontRef>
      </xdr:style>
      <xdr:txBody>
        <a:bodyPr vertOverflow="clip" horzOverflow="clip" lIns="0" tIns="0" rIns="0" bIns="0" rtlCol="0" anchor="ctr" anchorCtr="1"/>
        <a:lstStyle/>
        <a:p>
          <a:pPr algn="l"/>
          <a:r>
            <a:rPr lang="en-US" sz="1300" baseline="0">
              <a:solidFill>
                <a:schemeClr val="tx1"/>
              </a:solidFill>
            </a:rPr>
            <a:t>Year 6 - 10</a:t>
          </a:r>
        </a:p>
      </xdr:txBody>
    </xdr:sp>
    <xdr:clientData/>
  </xdr:twoCellAnchor>
  <xdr:twoCellAnchor>
    <xdr:from>
      <xdr:col>2</xdr:col>
      <xdr:colOff>910167</xdr:colOff>
      <xdr:row>129</xdr:row>
      <xdr:rowOff>15522</xdr:rowOff>
    </xdr:from>
    <xdr:to>
      <xdr:col>3</xdr:col>
      <xdr:colOff>896055</xdr:colOff>
      <xdr:row>130</xdr:row>
      <xdr:rowOff>0</xdr:rowOff>
    </xdr:to>
    <xdr:sp macro="[0]!GrantCum_Click" textlink="">
      <xdr:nvSpPr>
        <xdr:cNvPr id="74" name="Rounded Rectangle 73">
          <a:extLst>
            <a:ext uri="{FF2B5EF4-FFF2-40B4-BE49-F238E27FC236}">
              <a16:creationId xmlns:a16="http://schemas.microsoft.com/office/drawing/2014/main" id="{00000000-0008-0000-0200-00004A000000}"/>
            </a:ext>
          </a:extLst>
        </xdr:cNvPr>
        <xdr:cNvSpPr/>
      </xdr:nvSpPr>
      <xdr:spPr>
        <a:xfrm>
          <a:off x="5012267" y="24209022"/>
          <a:ext cx="1192388" cy="177799"/>
        </a:xfrm>
        <a:prstGeom prst="roundRect">
          <a:avLst/>
        </a:prstGeom>
        <a:solidFill>
          <a:schemeClr val="bg1"/>
        </a:solidFill>
        <a:ln>
          <a:solidFill>
            <a:schemeClr val="tx1"/>
          </a:solidFill>
        </a:ln>
      </xdr:spPr>
      <xdr:style>
        <a:lnRef idx="1">
          <a:schemeClr val="accent1"/>
        </a:lnRef>
        <a:fillRef idx="3">
          <a:schemeClr val="accent1"/>
        </a:fillRef>
        <a:effectRef idx="2">
          <a:schemeClr val="accent1"/>
        </a:effectRef>
        <a:fontRef idx="minor">
          <a:schemeClr val="lt1"/>
        </a:fontRef>
      </xdr:style>
      <xdr:txBody>
        <a:bodyPr vertOverflow="clip" horzOverflow="clip" lIns="0" tIns="0" rIns="0" bIns="0" rtlCol="0" anchor="ctr" anchorCtr="1"/>
        <a:lstStyle/>
        <a:p>
          <a:pPr algn="l"/>
          <a:r>
            <a:rPr lang="en-US" sz="1300" baseline="0">
              <a:solidFill>
                <a:schemeClr val="tx1"/>
              </a:solidFill>
            </a:rPr>
            <a:t>Cumulative</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4:B24"/>
  <sheetViews>
    <sheetView workbookViewId="0">
      <selection activeCell="A14" sqref="A14"/>
    </sheetView>
  </sheetViews>
  <sheetFormatPr defaultColWidth="11" defaultRowHeight="15.75" x14ac:dyDescent="0.25"/>
  <cols>
    <col min="2" max="2" width="10.875" customWidth="1"/>
  </cols>
  <sheetData>
    <row r="4" spans="2:2" ht="23.25" x14ac:dyDescent="0.35">
      <c r="B4" s="8" t="s">
        <v>54</v>
      </c>
    </row>
    <row r="24" spans="1:1" ht="18.75" x14ac:dyDescent="0.3">
      <c r="A24" s="144" t="s">
        <v>410</v>
      </c>
    </row>
  </sheetData>
  <sheetProtection algorithmName="SHA-512" hashValue="dVsE+m4mTcqpxOuVlwy/W5iIzOqCHroYyFYOTcAk5K3W3cyFXqV23pME55PD7rCetvhPrkyXyAlOwDGUi/IMJw==" saltValue="/PoQsUd8MdRF2A76277onQ==" spinCount="100000" sheet="1" objects="1" scenarios="1"/>
  <pageMargins left="0.75" right="0.75" top="1" bottom="1" header="0.5" footer="0.5"/>
  <pageSetup orientation="portrait" horizontalDpi="4294967292" verticalDpi="4294967292" r:id="rId1"/>
  <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G50"/>
  <sheetViews>
    <sheetView topLeftCell="A18" workbookViewId="0">
      <selection activeCell="G49" sqref="G49"/>
    </sheetView>
  </sheetViews>
  <sheetFormatPr defaultColWidth="11" defaultRowHeight="15.75" x14ac:dyDescent="0.25"/>
  <cols>
    <col min="1" max="1" width="5.875" customWidth="1"/>
    <col min="2" max="2" width="7" customWidth="1"/>
    <col min="3" max="3" width="43.625" customWidth="1"/>
    <col min="7" max="7" width="14.625" customWidth="1"/>
  </cols>
  <sheetData>
    <row r="1" spans="1:7" s="140" customFormat="1" ht="24.95" customHeight="1" x14ac:dyDescent="0.25">
      <c r="A1" s="490" t="s">
        <v>274</v>
      </c>
      <c r="B1" s="490"/>
      <c r="C1" s="490"/>
      <c r="D1" s="490"/>
      <c r="E1" s="490"/>
      <c r="F1" s="490"/>
      <c r="G1" s="490"/>
    </row>
    <row r="2" spans="1:7" x14ac:dyDescent="0.25">
      <c r="A2" s="505" t="s">
        <v>101</v>
      </c>
      <c r="B2" s="506"/>
      <c r="C2" s="507"/>
      <c r="D2" s="468" t="s">
        <v>88</v>
      </c>
      <c r="E2" s="468"/>
      <c r="F2" s="468"/>
      <c r="G2" s="486" t="s">
        <v>92</v>
      </c>
    </row>
    <row r="3" spans="1:7" x14ac:dyDescent="0.25">
      <c r="A3" s="508"/>
      <c r="B3" s="509"/>
      <c r="C3" s="510"/>
      <c r="D3" s="74" t="s">
        <v>89</v>
      </c>
      <c r="E3" s="74" t="s">
        <v>90</v>
      </c>
      <c r="F3" s="74" t="s">
        <v>91</v>
      </c>
      <c r="G3" s="487"/>
    </row>
    <row r="4" spans="1:7" x14ac:dyDescent="0.25">
      <c r="A4" s="18" t="s">
        <v>93</v>
      </c>
      <c r="B4" s="469" t="str">
        <f>IF(G4&gt;0,CONCATENATE((INDEX('Salary &amp; Fringe'!$A$1:$A$300,MATCH("Senior Person 1",'Salary &amp; Fringe'!$E$1:$E$300,FALSE),1))," ",(INDEX('Salary &amp; Fringe'!$B$1:$B$300,MATCH("Senior Person 1",'Salary &amp; Fringe'!$E$1:$E$300,FALSE),1))),"")</f>
        <v/>
      </c>
      <c r="C4" s="469"/>
      <c r="D4" s="70">
        <f>SUMIFS('Salary &amp; Fringe'!$Q$1:'Salary &amp; Fringe'!$Q$300,'Salary &amp; Fringe'!$E$1:'Salary &amp; Fringe'!$E$300,"Senior Person 1",'Salary &amp; Fringe'!$F$1:'Salary &amp; Fringe'!$F$300,"Calendar(12)")</f>
        <v>0</v>
      </c>
      <c r="E4" s="70">
        <f>SUMIFS('Salary &amp; Fringe'!$Q$1:'Salary &amp; Fringe'!$Q$300,'Salary &amp; Fringe'!$E$1:'Salary &amp; Fringe'!$E$300,"Senior Person 1",'Salary &amp; Fringe'!$F$1:'Salary &amp; Fringe'!$F$300,"Academic")</f>
        <v>0</v>
      </c>
      <c r="F4" s="70">
        <f>SUMIFS('Salary &amp; Fringe'!$Q$1:'Salary &amp; Fringe'!$Q$300,'Salary &amp; Fringe'!$E$1:'Salary &amp; Fringe'!$E$300,"Senior Person 1",'Salary &amp; Fringe'!$F$1:'Salary &amp; Fringe'!$F$300,"Summer")</f>
        <v>0</v>
      </c>
      <c r="G4" s="129">
        <f>SUMIF('Salary &amp; Fringe'!$E$1:$E$300,"Senior Person 1",'Salary &amp; Fringe'!$AA$1:$AA$300)</f>
        <v>0</v>
      </c>
    </row>
    <row r="5" spans="1:7" x14ac:dyDescent="0.25">
      <c r="A5" s="18" t="s">
        <v>94</v>
      </c>
      <c r="B5" s="469" t="str">
        <f>IF(G5&gt;0,CONCATENATE((INDEX('Salary &amp; Fringe'!$A$1:$A$300,MATCH("Senior Person 2",'Salary &amp; Fringe'!$E$1:$E$300,FALSE),1))," ",(INDEX('Salary &amp; Fringe'!$B$1:$B$300,MATCH("Senior Person 2",'Salary &amp; Fringe'!$E$1:$E$300,FALSE),1))),"")</f>
        <v/>
      </c>
      <c r="C5" s="469"/>
      <c r="D5" s="70">
        <f>SUMIFS('Salary &amp; Fringe'!$Q$1:'Salary &amp; Fringe'!$Q$300,'Salary &amp; Fringe'!$E$1:'Salary &amp; Fringe'!$E$300,"Senior Person 2",'Salary &amp; Fringe'!$F$1:'Salary &amp; Fringe'!$F$300,"Calendar(12)")</f>
        <v>0</v>
      </c>
      <c r="E5" s="70">
        <f>SUMIFS('Salary &amp; Fringe'!$Q$1:'Salary &amp; Fringe'!$Q$300,'Salary &amp; Fringe'!$E$1:'Salary &amp; Fringe'!$E$300,"Senior Person 2",'Salary &amp; Fringe'!$F$1:'Salary &amp; Fringe'!$F$300,"Academic")</f>
        <v>0</v>
      </c>
      <c r="F5" s="70">
        <f>SUMIFS('Salary &amp; Fringe'!$Q$1:'Salary &amp; Fringe'!$Q$300,'Salary &amp; Fringe'!$E$1:'Salary &amp; Fringe'!$E$300,"Senior Person 2",'Salary &amp; Fringe'!$F$1:'Salary &amp; Fringe'!$F$300,"Summer")</f>
        <v>0</v>
      </c>
      <c r="G5" s="129">
        <f>SUMIF('Salary &amp; Fringe'!$E$1:$E$300,"Senior Person 2",'Salary &amp; Fringe'!$AA$1:$AA$300)</f>
        <v>0</v>
      </c>
    </row>
    <row r="6" spans="1:7" x14ac:dyDescent="0.25">
      <c r="A6" s="18" t="s">
        <v>95</v>
      </c>
      <c r="B6" s="469" t="str">
        <f>IF(G6&gt;0,CONCATENATE((INDEX('Salary &amp; Fringe'!$A$1:$A$300,MATCH("Senior Person 3",'Salary &amp; Fringe'!$E$1:$E$300,FALSE),1))," ",(INDEX('Salary &amp; Fringe'!$B$1:$B$300,MATCH("Senior Person 3",'Salary &amp; Fringe'!$E$1:$E$300,FALSE),1))),"")</f>
        <v/>
      </c>
      <c r="C6" s="469"/>
      <c r="D6" s="70">
        <f>SUMIFS('Salary &amp; Fringe'!$Q$1:'Salary &amp; Fringe'!$Q$300,'Salary &amp; Fringe'!$E$1:'Salary &amp; Fringe'!$E$300,"Senior Person 3",'Salary &amp; Fringe'!$F$1:'Salary &amp; Fringe'!$F$300,"Calendar(12)")</f>
        <v>0</v>
      </c>
      <c r="E6" s="70">
        <f>SUMIFS('Salary &amp; Fringe'!$Q$1:'Salary &amp; Fringe'!$Q$300,'Salary &amp; Fringe'!$E$1:'Salary &amp; Fringe'!$E$300,"Senior Person 3",'Salary &amp; Fringe'!$F$1:'Salary &amp; Fringe'!$F$300,"Academic")</f>
        <v>0</v>
      </c>
      <c r="F6" s="70">
        <f>SUMIFS('Salary &amp; Fringe'!$Q$1:'Salary &amp; Fringe'!$Q$300,'Salary &amp; Fringe'!$E$1:'Salary &amp; Fringe'!$E$300,"Senior Person 3",'Salary &amp; Fringe'!$F$1:'Salary &amp; Fringe'!$F$300,"Summer")</f>
        <v>0</v>
      </c>
      <c r="G6" s="129">
        <f>SUMIF('Salary &amp; Fringe'!$E$1:$E$300,"Senior Person 3",'Salary &amp; Fringe'!$AA$1:$AA$300)</f>
        <v>0</v>
      </c>
    </row>
    <row r="7" spans="1:7" x14ac:dyDescent="0.25">
      <c r="A7" s="18" t="s">
        <v>96</v>
      </c>
      <c r="B7" s="469" t="str">
        <f>IF(G7&gt;0,CONCATENATE((INDEX('Salary &amp; Fringe'!$A$1:$A$300,MATCH("Senior Person 4",'Salary &amp; Fringe'!$E$1:$E$300,FALSE),1))," ",(INDEX('Salary &amp; Fringe'!$B$1:$B$300,MATCH("Senior Person 4",'Salary &amp; Fringe'!$E$1:$E$300,FALSE),1))),"")</f>
        <v/>
      </c>
      <c r="C7" s="469"/>
      <c r="D7" s="70">
        <f>SUMIFS('Salary &amp; Fringe'!$Q$1:'Salary &amp; Fringe'!$Q$300,'Salary &amp; Fringe'!$E$1:'Salary &amp; Fringe'!$E$300,"Senior Person 4",'Salary &amp; Fringe'!$F$1:'Salary &amp; Fringe'!$F$300,"Calendar(12)")</f>
        <v>0</v>
      </c>
      <c r="E7" s="70">
        <f>SUMIFS('Salary &amp; Fringe'!$Q$1:'Salary &amp; Fringe'!$Q$300,'Salary &amp; Fringe'!$E$1:'Salary &amp; Fringe'!$E$300,"Senior Person 4",'Salary &amp; Fringe'!$F$1:'Salary &amp; Fringe'!$F$300,"Academic")</f>
        <v>0</v>
      </c>
      <c r="F7" s="70">
        <f>SUMIFS('Salary &amp; Fringe'!$Q$1:'Salary &amp; Fringe'!$Q$300,'Salary &amp; Fringe'!$E$1:'Salary &amp; Fringe'!$E$300,"Senior Person 4",'Salary &amp; Fringe'!$F$1:'Salary &amp; Fringe'!$F$300,"Summer")</f>
        <v>0</v>
      </c>
      <c r="G7" s="129">
        <f>SUMIF('Salary &amp; Fringe'!$E$1:$E$300,"Senior Person 4",'Salary &amp; Fringe'!$AA$1:$AA$300)</f>
        <v>0</v>
      </c>
    </row>
    <row r="8" spans="1:7" x14ac:dyDescent="0.25">
      <c r="A8" s="18" t="s">
        <v>97</v>
      </c>
      <c r="B8" s="469" t="str">
        <f>IF(G8&gt;0,CONCATENATE((INDEX('Salary &amp; Fringe'!$A$1:$A$300,MATCH("Senior Person 5",'Salary &amp; Fringe'!$E$1:$E$300,FALSE),1))," ",(INDEX('Salary &amp; Fringe'!$B$1:$B$300,MATCH("Senior Person 5",'Salary &amp; Fringe'!$E$1:$E$300,FALSE),1))),"")</f>
        <v/>
      </c>
      <c r="C8" s="469"/>
      <c r="D8" s="70">
        <f>SUMIFS('Salary &amp; Fringe'!$Q$1:'Salary &amp; Fringe'!$Q$300,'Salary &amp; Fringe'!$E$1:'Salary &amp; Fringe'!$E$300,"Senior Person 5",'Salary &amp; Fringe'!$F$1:'Salary &amp; Fringe'!$F$300,"Calendar(12)")</f>
        <v>0</v>
      </c>
      <c r="E8" s="70">
        <f>SUMIFS('Salary &amp; Fringe'!$Q$1:'Salary &amp; Fringe'!$Q$300,'Salary &amp; Fringe'!$E$1:'Salary &amp; Fringe'!$E$300,"Senior Person 5",'Salary &amp; Fringe'!$F$1:'Salary &amp; Fringe'!$F$300,"Academic")</f>
        <v>0</v>
      </c>
      <c r="F8" s="70">
        <f>SUMIFS('Salary &amp; Fringe'!$Q$1:'Salary &amp; Fringe'!$Q$300,'Salary &amp; Fringe'!$E$1:'Salary &amp; Fringe'!$E$300,"Senior Person 5",'Salary &amp; Fringe'!$F$1:'Salary &amp; Fringe'!$F$300,"Summer")</f>
        <v>0</v>
      </c>
      <c r="G8" s="129">
        <f>SUMIF('Salary &amp; Fringe'!$E$1:$E$300,"Senior Person 5",'Salary &amp; Fringe'!$AA$1:$AA$300)</f>
        <v>0</v>
      </c>
    </row>
    <row r="9" spans="1:7" x14ac:dyDescent="0.25">
      <c r="A9" s="18" t="s">
        <v>98</v>
      </c>
      <c r="B9" s="72">
        <f>SUMIFS('Salary &amp; Fringe'!$I$1:$I$300,'Salary &amp; Fringe'!$E$1:$E$300,"Senior (Other)", 'Salary &amp; Fringe'!$Q$1:'Salary &amp; Fringe'!$Q$300, "&gt;0")</f>
        <v>0</v>
      </c>
      <c r="C9" s="19" t="s">
        <v>100</v>
      </c>
      <c r="D9" s="70">
        <f>SUMIFS('Salary &amp; Fringe'!$Q$1:'Salary &amp; Fringe'!$Q$300,'Salary &amp; Fringe'!$E$1:'Salary &amp; Fringe'!$E$300,"Senior (Other)",'Salary &amp; Fringe'!$F$1:'Salary &amp; Fringe'!$F$300,"Calendar(12)")</f>
        <v>0</v>
      </c>
      <c r="E9" s="70">
        <f>SUMIFS('Salary &amp; Fringe'!$Q$1:'Salary &amp; Fringe'!$Q$300,'Salary &amp; Fringe'!$E$1:'Salary &amp; Fringe'!$E$300,"Senior (Other)",'Salary &amp; Fringe'!$F$1:'Salary &amp; Fringe'!$F$300,"Academic")</f>
        <v>0</v>
      </c>
      <c r="F9" s="70">
        <f>SUMIFS('Salary &amp; Fringe'!$Q$1:'Salary &amp; Fringe'!$Q$300,'Salary &amp; Fringe'!$E$1:'Salary &amp; Fringe'!$E$300,"Senior (Other)",'Salary &amp; Fringe'!$F$1:'Salary &amp; Fringe'!$F$300,"Summer")</f>
        <v>0</v>
      </c>
      <c r="G9" s="129">
        <f>SUMIF('Salary &amp; Fringe'!$E$1:$E$300,"Senior (Other)",'Salary &amp; Fringe'!$AA$1:$AA$300)</f>
        <v>0</v>
      </c>
    </row>
    <row r="10" spans="1:7" x14ac:dyDescent="0.25">
      <c r="A10" s="18" t="s">
        <v>99</v>
      </c>
      <c r="B10" s="76">
        <f>(COUNTIF(G4:G8,"&gt;0")+B9)</f>
        <v>0</v>
      </c>
      <c r="C10" s="19" t="s">
        <v>128</v>
      </c>
      <c r="D10" s="74">
        <f>SUM(D4:D9)</f>
        <v>0</v>
      </c>
      <c r="E10" s="74">
        <f>SUM(E4:E9)</f>
        <v>0</v>
      </c>
      <c r="F10" s="74">
        <f>SUM(F4:F9)</f>
        <v>0</v>
      </c>
      <c r="G10" s="130">
        <f>SUM(G4:G9)</f>
        <v>0</v>
      </c>
    </row>
    <row r="11" spans="1:7" x14ac:dyDescent="0.25">
      <c r="A11" s="470" t="s">
        <v>102</v>
      </c>
      <c r="B11" s="471"/>
      <c r="C11" s="472"/>
      <c r="D11" s="11"/>
      <c r="E11" s="11"/>
      <c r="F11" s="11"/>
      <c r="G11" s="131"/>
    </row>
    <row r="12" spans="1:7" x14ac:dyDescent="0.25">
      <c r="A12" s="18" t="s">
        <v>93</v>
      </c>
      <c r="B12" s="72">
        <f>SUMIFS('Salary &amp; Fringe'!$I$1:$I$300,'Salary &amp; Fringe'!$E$1:$E$300,"Postdoc", 'Salary &amp; Fringe'!$Q$1:'Salary &amp; Fringe'!$Q$300, "&gt;0")</f>
        <v>0</v>
      </c>
      <c r="C12" s="73" t="s">
        <v>103</v>
      </c>
      <c r="D12" s="71">
        <f>SUMIF('Salary &amp; Fringe'!$E$1:$E$300,"Postdoc",'Salary &amp; Fringe'!$Q$1:$Q$300)</f>
        <v>0</v>
      </c>
      <c r="E12" s="70">
        <v>0</v>
      </c>
      <c r="F12" s="70">
        <v>0</v>
      </c>
      <c r="G12" s="129">
        <f>SUMIF('Salary &amp; Fringe'!$E$1:$E$300,"Postdoc",'Salary &amp; Fringe'!$AA$1:$AA$300)</f>
        <v>0</v>
      </c>
    </row>
    <row r="13" spans="1:7" x14ac:dyDescent="0.25">
      <c r="A13" s="18" t="s">
        <v>94</v>
      </c>
      <c r="B13" s="72">
        <f>SUMIFS('Salary &amp; Fringe'!$I$1:$I$300,'Salary &amp; Fringe'!$E$1:$E$300,"Professional (Other)", 'Salary &amp; Fringe'!$Q$1:'Salary &amp; Fringe'!$Q$300, "&gt;0")</f>
        <v>0</v>
      </c>
      <c r="C13" s="73" t="s">
        <v>104</v>
      </c>
      <c r="D13" s="71">
        <f>SUMIF('Salary &amp; Fringe'!$E$1:$E$300,"Professional (Other)",'Salary &amp; Fringe'!$Q$1:$Q$300)</f>
        <v>0</v>
      </c>
      <c r="E13" s="70">
        <v>0</v>
      </c>
      <c r="F13" s="70">
        <v>0</v>
      </c>
      <c r="G13" s="129">
        <f>SUMIF('Salary &amp; Fringe'!$E$1:$E$300,"Professional (Other)",'Salary &amp; Fringe'!$AA$1:$AA$300)</f>
        <v>0</v>
      </c>
    </row>
    <row r="14" spans="1:7" x14ac:dyDescent="0.25">
      <c r="A14" s="18" t="s">
        <v>95</v>
      </c>
      <c r="B14" s="139"/>
      <c r="C14" s="473" t="s">
        <v>105</v>
      </c>
      <c r="D14" s="473"/>
      <c r="E14" s="473"/>
      <c r="F14" s="473"/>
      <c r="G14" s="129">
        <f>SUMIF('Salary &amp; Fringe'!$E$1:$E$300,"Grad",'Salary &amp; Fringe'!$AA$1:$AA$300)</f>
        <v>0</v>
      </c>
    </row>
    <row r="15" spans="1:7" x14ac:dyDescent="0.25">
      <c r="A15" s="18" t="s">
        <v>96</v>
      </c>
      <c r="B15" s="233"/>
      <c r="C15" s="474" t="s">
        <v>106</v>
      </c>
      <c r="D15" s="474"/>
      <c r="E15" s="474"/>
      <c r="F15" s="474"/>
      <c r="G15" s="129">
        <f>SUMIF('Salary &amp; Fringe'!$E$1:$E$300,"Undergrad",'Salary &amp; Fringe'!$AA$1:$AA$300)</f>
        <v>0</v>
      </c>
    </row>
    <row r="16" spans="1:7" x14ac:dyDescent="0.25">
      <c r="A16" s="18" t="s">
        <v>97</v>
      </c>
      <c r="B16" s="72">
        <f>SUMIFS('Salary &amp; Fringe'!$I$1:$I$300,'Salary &amp; Fringe'!$E$1:$E$300,"Clerical", 'Salary &amp; Fringe'!$Q$1:'Salary &amp; Fringe'!$Q$300, "&gt;0")</f>
        <v>0</v>
      </c>
      <c r="C16" s="473" t="s">
        <v>107</v>
      </c>
      <c r="D16" s="473"/>
      <c r="E16" s="473"/>
      <c r="F16" s="473"/>
      <c r="G16" s="129">
        <f>SUMIF('Salary &amp; Fringe'!$E$1:$E$300,"Clerical",'Salary &amp; Fringe'!$AA$1:$AA$300)</f>
        <v>0</v>
      </c>
    </row>
    <row r="17" spans="1:7" x14ac:dyDescent="0.25">
      <c r="A17" s="18" t="s">
        <v>98</v>
      </c>
      <c r="B17" s="72">
        <f>SUMIFS('Salary &amp; Fringe'!$I$1:$I$300,'Salary &amp; Fringe'!$E$1:$E$300,"Other*", 'Salary &amp; Fringe'!$Q$1:'Salary &amp; Fringe'!$Q$300, "&gt;0")</f>
        <v>0</v>
      </c>
      <c r="C17" s="474" t="s">
        <v>53</v>
      </c>
      <c r="D17" s="474"/>
      <c r="E17" s="474"/>
      <c r="F17" s="474"/>
      <c r="G17" s="129">
        <f>SUMIF('Salary &amp; Fringe'!$E$1:$E$300,"Other*",'Salary &amp; Fringe'!$AA$1:$AA$300)</f>
        <v>0</v>
      </c>
    </row>
    <row r="18" spans="1:7" x14ac:dyDescent="0.25">
      <c r="A18" s="475" t="s">
        <v>108</v>
      </c>
      <c r="B18" s="476"/>
      <c r="C18" s="476"/>
      <c r="D18" s="476"/>
      <c r="E18" s="476"/>
      <c r="F18" s="477"/>
      <c r="G18" s="130">
        <f>SUM(G10,G12:G17)</f>
        <v>0</v>
      </c>
    </row>
    <row r="19" spans="1:7" x14ac:dyDescent="0.25">
      <c r="A19" s="470" t="s">
        <v>109</v>
      </c>
      <c r="B19" s="471"/>
      <c r="C19" s="471"/>
      <c r="D19" s="471"/>
      <c r="E19" s="471"/>
      <c r="F19" s="472"/>
      <c r="G19" s="130">
        <f ca="1">TotalFringe5</f>
        <v>0</v>
      </c>
    </row>
    <row r="20" spans="1:7" x14ac:dyDescent="0.25">
      <c r="A20" s="475" t="s">
        <v>110</v>
      </c>
      <c r="B20" s="476"/>
      <c r="C20" s="476"/>
      <c r="D20" s="476"/>
      <c r="E20" s="476"/>
      <c r="F20" s="477"/>
      <c r="G20" s="130">
        <f ca="1">G18+G19</f>
        <v>0</v>
      </c>
    </row>
    <row r="21" spans="1:7" x14ac:dyDescent="0.25">
      <c r="A21" s="478" t="s">
        <v>111</v>
      </c>
      <c r="B21" s="479"/>
      <c r="C21" s="479"/>
      <c r="D21" s="479"/>
      <c r="E21" s="479"/>
      <c r="F21" s="480"/>
      <c r="G21" s="130"/>
    </row>
    <row r="22" spans="1:7" x14ac:dyDescent="0.25">
      <c r="A22" s="481" t="str">
        <f>IF(ISBLANK(Budget!N47),"",Budget!A47)</f>
        <v/>
      </c>
      <c r="B22" s="481"/>
      <c r="C22" s="481"/>
      <c r="D22" s="482" t="str">
        <f>IF(Budget!N47&gt;0,Budget!N47,"")</f>
        <v/>
      </c>
      <c r="E22" s="482"/>
      <c r="F22" s="482"/>
      <c r="G22" s="132"/>
    </row>
    <row r="23" spans="1:7" x14ac:dyDescent="0.25">
      <c r="A23" s="481" t="str">
        <f>IF(ISBLANK(Budget!N48),"",Budget!A48)</f>
        <v/>
      </c>
      <c r="B23" s="481"/>
      <c r="C23" s="481"/>
      <c r="D23" s="482" t="str">
        <f>IF(Budget!N48&gt;0,Budget!N48,"")</f>
        <v/>
      </c>
      <c r="E23" s="482"/>
      <c r="F23" s="482"/>
      <c r="G23" s="133"/>
    </row>
    <row r="24" spans="1:7" x14ac:dyDescent="0.25">
      <c r="A24" s="481" t="str">
        <f>IF(ISBLANK(Budget!N49),"",Budget!A49)</f>
        <v/>
      </c>
      <c r="B24" s="481"/>
      <c r="C24" s="481"/>
      <c r="D24" s="482" t="str">
        <f>IF(Budget!N49&gt;0,Budget!N49,"")</f>
        <v/>
      </c>
      <c r="E24" s="482"/>
      <c r="F24" s="482"/>
      <c r="G24" s="133"/>
    </row>
    <row r="25" spans="1:7" x14ac:dyDescent="0.25">
      <c r="A25" s="481" t="str">
        <f>IF(ISBLANK(Budget!N50),"",Budget!A50)</f>
        <v/>
      </c>
      <c r="B25" s="481"/>
      <c r="C25" s="481"/>
      <c r="D25" s="482" t="str">
        <f>IF(Budget!N50&gt;0,Budget!N50,"")</f>
        <v/>
      </c>
      <c r="E25" s="482"/>
      <c r="F25" s="482"/>
      <c r="G25" s="133"/>
    </row>
    <row r="26" spans="1:7" x14ac:dyDescent="0.25">
      <c r="A26" s="481" t="str">
        <f>IF(ISBLANK(Budget!N51),"",Budget!A51)</f>
        <v/>
      </c>
      <c r="B26" s="481"/>
      <c r="C26" s="481"/>
      <c r="D26" s="482" t="str">
        <f>IF(Budget!N51&gt;0,Budget!N51,"")</f>
        <v/>
      </c>
      <c r="E26" s="482"/>
      <c r="F26" s="482"/>
      <c r="G26" s="133"/>
    </row>
    <row r="27" spans="1:7" x14ac:dyDescent="0.25">
      <c r="A27" s="475" t="s">
        <v>58</v>
      </c>
      <c r="B27" s="476"/>
      <c r="C27" s="476"/>
      <c r="D27" s="476"/>
      <c r="E27" s="476"/>
      <c r="F27" s="477"/>
      <c r="G27" s="130">
        <f>Budget!N52</f>
        <v>0</v>
      </c>
    </row>
    <row r="28" spans="1:7" x14ac:dyDescent="0.25">
      <c r="A28" s="489" t="s">
        <v>112</v>
      </c>
      <c r="B28" s="489"/>
      <c r="C28" s="489"/>
      <c r="D28" s="489"/>
      <c r="E28" s="489"/>
      <c r="F28" s="489"/>
      <c r="G28" s="134"/>
    </row>
    <row r="29" spans="1:7" x14ac:dyDescent="0.25">
      <c r="A29" s="481" t="s">
        <v>203</v>
      </c>
      <c r="B29" s="481"/>
      <c r="C29" s="481"/>
      <c r="D29" s="481"/>
      <c r="E29" s="481"/>
      <c r="F29" s="481"/>
      <c r="G29" s="130">
        <f>Budget!N39</f>
        <v>0</v>
      </c>
    </row>
    <row r="30" spans="1:7" x14ac:dyDescent="0.25">
      <c r="A30" s="488" t="s">
        <v>113</v>
      </c>
      <c r="B30" s="488"/>
      <c r="C30" s="488"/>
      <c r="D30" s="488"/>
      <c r="E30" s="488"/>
      <c r="F30" s="488"/>
      <c r="G30" s="130">
        <f>Budget!N44</f>
        <v>0</v>
      </c>
    </row>
    <row r="31" spans="1:7" x14ac:dyDescent="0.25">
      <c r="A31" s="478" t="s">
        <v>114</v>
      </c>
      <c r="B31" s="479"/>
      <c r="C31" s="479"/>
      <c r="D31" s="498"/>
      <c r="E31" s="498"/>
      <c r="F31" s="499"/>
      <c r="G31" s="135"/>
    </row>
    <row r="32" spans="1:7" x14ac:dyDescent="0.25">
      <c r="A32" s="474" t="s">
        <v>115</v>
      </c>
      <c r="B32" s="474"/>
      <c r="C32" s="44">
        <f>SUMIF(Budget!$A$2:$A$504,"PS Stipends",Budget!$N$2:$N$504)</f>
        <v>0</v>
      </c>
      <c r="D32" s="20"/>
      <c r="E32" s="21"/>
      <c r="F32" s="21"/>
      <c r="G32" s="136"/>
    </row>
    <row r="33" spans="1:7" x14ac:dyDescent="0.25">
      <c r="A33" s="474" t="s">
        <v>116</v>
      </c>
      <c r="B33" s="474"/>
      <c r="C33" s="44">
        <f>SUMIF(Budget!$A$2:$A$504,"PS Travel",Budget!$N$2:$N$504)</f>
        <v>0</v>
      </c>
      <c r="D33" s="22"/>
      <c r="E33" s="23"/>
      <c r="F33" s="23"/>
      <c r="G33" s="136"/>
    </row>
    <row r="34" spans="1:7" x14ac:dyDescent="0.25">
      <c r="A34" s="474" t="s">
        <v>117</v>
      </c>
      <c r="B34" s="474"/>
      <c r="C34" s="44">
        <f>SUMIF(Budget!$A$2:$A$504,"PS Subsistence",Budget!$N$2:$N$504)</f>
        <v>0</v>
      </c>
      <c r="D34" s="22"/>
      <c r="E34" s="23"/>
      <c r="F34" s="23"/>
      <c r="G34" s="136"/>
    </row>
    <row r="35" spans="1:7" x14ac:dyDescent="0.25">
      <c r="A35" s="474" t="s">
        <v>118</v>
      </c>
      <c r="B35" s="474"/>
      <c r="C35" s="44">
        <f>SUMIF(Budget!$A$2:$A$504,"PS Other",Budget!$N$2:$N$504)</f>
        <v>0</v>
      </c>
      <c r="D35" s="12"/>
      <c r="E35" s="13"/>
      <c r="F35" s="13"/>
      <c r="G35" s="137"/>
    </row>
    <row r="36" spans="1:7" x14ac:dyDescent="0.25">
      <c r="A36" s="503"/>
      <c r="B36" s="504"/>
      <c r="C36" s="500" t="s">
        <v>59</v>
      </c>
      <c r="D36" s="501"/>
      <c r="E36" s="501"/>
      <c r="F36" s="502"/>
      <c r="G36" s="130">
        <f>Budget!N57</f>
        <v>0</v>
      </c>
    </row>
    <row r="37" spans="1:7" x14ac:dyDescent="0.25">
      <c r="A37" s="489" t="s">
        <v>119</v>
      </c>
      <c r="B37" s="489"/>
      <c r="C37" s="489"/>
      <c r="D37" s="489"/>
      <c r="E37" s="489"/>
      <c r="F37" s="489"/>
      <c r="G37" s="134"/>
    </row>
    <row r="38" spans="1:7" x14ac:dyDescent="0.25">
      <c r="A38" s="474" t="s">
        <v>120</v>
      </c>
      <c r="B38" s="474"/>
      <c r="C38" s="474"/>
      <c r="D38" s="474"/>
      <c r="E38" s="474"/>
      <c r="F38" s="474"/>
      <c r="G38" s="138">
        <f>SUMIF(Budget!$A$2:$A$504,"Materials &amp; Supplies",Budget!$N$2:$N$504)</f>
        <v>0</v>
      </c>
    </row>
    <row r="39" spans="1:7" x14ac:dyDescent="0.25">
      <c r="A39" s="474" t="s">
        <v>121</v>
      </c>
      <c r="B39" s="474"/>
      <c r="C39" s="474"/>
      <c r="D39" s="474"/>
      <c r="E39" s="474"/>
      <c r="F39" s="474"/>
      <c r="G39" s="138">
        <f>SUMIF(Budget!$A$2:$A$504,"Publication Costs/Page Charges",Budget!$N$2:$N$504)</f>
        <v>0</v>
      </c>
    </row>
    <row r="40" spans="1:7" x14ac:dyDescent="0.25">
      <c r="A40" s="474" t="s">
        <v>122</v>
      </c>
      <c r="B40" s="474"/>
      <c r="C40" s="474"/>
      <c r="D40" s="474"/>
      <c r="E40" s="474"/>
      <c r="F40" s="474"/>
      <c r="G40" s="138">
        <f>SUMIF(Budget!$A$2:$A$504,"Consultant Services",Budget!$N$2:$N$504)</f>
        <v>0</v>
      </c>
    </row>
    <row r="41" spans="1:7" x14ac:dyDescent="0.25">
      <c r="A41" s="474" t="s">
        <v>123</v>
      </c>
      <c r="B41" s="474"/>
      <c r="C41" s="474"/>
      <c r="D41" s="474"/>
      <c r="E41" s="474"/>
      <c r="F41" s="474"/>
      <c r="G41" s="138">
        <f>SUMIF(Budget!$A$2:$A$504,"Computer (ADPE) Services",Budget!$N$2:$N$504)</f>
        <v>0</v>
      </c>
    </row>
    <row r="42" spans="1:7" x14ac:dyDescent="0.25">
      <c r="A42" s="474" t="s">
        <v>124</v>
      </c>
      <c r="B42" s="474"/>
      <c r="C42" s="474"/>
      <c r="D42" s="474"/>
      <c r="E42" s="474"/>
      <c r="F42" s="474"/>
      <c r="G42" s="138">
        <f ca="1">TotalSubs5+TotalMulti5</f>
        <v>0</v>
      </c>
    </row>
    <row r="43" spans="1:7" x14ac:dyDescent="0.25">
      <c r="A43" s="474" t="s">
        <v>125</v>
      </c>
      <c r="B43" s="474"/>
      <c r="C43" s="474"/>
      <c r="D43" s="474"/>
      <c r="E43" s="474"/>
      <c r="F43" s="474"/>
      <c r="G43" s="138">
        <f>SUMIF(Budget!$A$2:$A$504,"Vendor Contract",Budget!$N$2:$N$504)+SUMIF(Budget!$A$2:$A$504,"Service Agreement",Budget!$N$2:$N$504)+SUMIF(Budget!$A$2:$A$504,"Space Rentals",Budget!$N$2:$N$504)+SUMIF(Budget!$A$2:$A$504,"Other*",Budget!$N$2:$N$504)+SUMIF(Budget!$A$2:$A$504,"Equipment or Facility*",Budget!$N$2:$N$504)+TotalGSR5</f>
        <v>0</v>
      </c>
    </row>
    <row r="44" spans="1:7" x14ac:dyDescent="0.25">
      <c r="A44" s="497" t="s">
        <v>127</v>
      </c>
      <c r="B44" s="497"/>
      <c r="C44" s="497"/>
      <c r="D44" s="497"/>
      <c r="E44" s="497"/>
      <c r="F44" s="497"/>
      <c r="G44" s="130">
        <f ca="1">SUM(G38:G43)</f>
        <v>0</v>
      </c>
    </row>
    <row r="45" spans="1:7" x14ac:dyDescent="0.25">
      <c r="A45" s="489" t="s">
        <v>126</v>
      </c>
      <c r="B45" s="489"/>
      <c r="C45" s="489"/>
      <c r="D45" s="489"/>
      <c r="E45" s="489"/>
      <c r="F45" s="489"/>
      <c r="G45" s="130">
        <f ca="1">SUM(G20+G27+G29+G30+G36+G44)</f>
        <v>0</v>
      </c>
    </row>
    <row r="46" spans="1:7" x14ac:dyDescent="0.25">
      <c r="A46" s="491" t="s">
        <v>129</v>
      </c>
      <c r="B46" s="492"/>
      <c r="C46" s="492"/>
      <c r="D46" s="492"/>
      <c r="E46" s="492"/>
      <c r="F46" s="493"/>
      <c r="G46" s="134"/>
    </row>
    <row r="47" spans="1:7" x14ac:dyDescent="0.25">
      <c r="C47" s="57" t="str">
        <f>Budget!N105</f>
        <v xml:space="preserve"> </v>
      </c>
      <c r="D47" s="75" t="s">
        <v>130</v>
      </c>
      <c r="E47" s="45">
        <f ca="1">Budget!N101</f>
        <v>0</v>
      </c>
      <c r="F47" t="s">
        <v>55</v>
      </c>
      <c r="G47" s="130">
        <f ca="1">Budget!N109</f>
        <v>0</v>
      </c>
    </row>
    <row r="48" spans="1:7" x14ac:dyDescent="0.25">
      <c r="A48" s="478" t="s">
        <v>131</v>
      </c>
      <c r="B48" s="479"/>
      <c r="C48" s="479"/>
      <c r="D48" s="479"/>
      <c r="E48" s="479"/>
      <c r="F48" s="480"/>
      <c r="G48" s="130">
        <f ca="1">G45+G47</f>
        <v>0</v>
      </c>
    </row>
    <row r="49" spans="1:7" x14ac:dyDescent="0.25">
      <c r="A49" s="494" t="s">
        <v>213</v>
      </c>
      <c r="B49" s="495"/>
      <c r="C49" s="495"/>
      <c r="D49" s="495"/>
      <c r="E49" s="495"/>
      <c r="F49" s="496"/>
      <c r="G49" s="141"/>
    </row>
    <row r="50" spans="1:7" x14ac:dyDescent="0.25">
      <c r="A50" s="483" t="s">
        <v>132</v>
      </c>
      <c r="B50" s="484"/>
      <c r="C50" s="484"/>
      <c r="D50" s="484"/>
      <c r="E50" s="484"/>
      <c r="F50" s="485"/>
      <c r="G50" s="138">
        <f ca="1">IF(G49&gt;0, G48-G49, G48)</f>
        <v>0</v>
      </c>
    </row>
  </sheetData>
  <sheetProtection algorithmName="SHA-512" hashValue="V7BVV/qAwg7Iu1nFYrsujIEyI7Ntzb7pBmgL0xNfQkMGXcansPp7ZxzasE4s75D/PYyY5QOLuFC269KA9eYwSg==" saltValue="h69biUWYjq/5b5CVIhtGgQ==" spinCount="100000" sheet="1" objects="1" scenarios="1" selectLockedCells="1"/>
  <mergeCells count="52">
    <mergeCell ref="A1:G1"/>
    <mergeCell ref="A50:F50"/>
    <mergeCell ref="A23:C23"/>
    <mergeCell ref="D23:F23"/>
    <mergeCell ref="A24:C24"/>
    <mergeCell ref="D24:F24"/>
    <mergeCell ref="A25:C25"/>
    <mergeCell ref="D25:F25"/>
    <mergeCell ref="A43:F43"/>
    <mergeCell ref="A44:F44"/>
    <mergeCell ref="A45:F45"/>
    <mergeCell ref="A46:F46"/>
    <mergeCell ref="A48:F48"/>
    <mergeCell ref="A49:F49"/>
    <mergeCell ref="A37:F37"/>
    <mergeCell ref="A38:F38"/>
    <mergeCell ref="A39:F39"/>
    <mergeCell ref="A40:F40"/>
    <mergeCell ref="A41:F41"/>
    <mergeCell ref="A42:F42"/>
    <mergeCell ref="A31:F31"/>
    <mergeCell ref="A32:B32"/>
    <mergeCell ref="A33:B33"/>
    <mergeCell ref="A34:B34"/>
    <mergeCell ref="A35:B35"/>
    <mergeCell ref="A36:B36"/>
    <mergeCell ref="C36:F36"/>
    <mergeCell ref="A30:F30"/>
    <mergeCell ref="C17:F17"/>
    <mergeCell ref="A18:F18"/>
    <mergeCell ref="A19:F19"/>
    <mergeCell ref="A20:F20"/>
    <mergeCell ref="A21:F21"/>
    <mergeCell ref="A22:C22"/>
    <mergeCell ref="D22:F22"/>
    <mergeCell ref="A26:C26"/>
    <mergeCell ref="D26:F26"/>
    <mergeCell ref="A27:F27"/>
    <mergeCell ref="A28:F28"/>
    <mergeCell ref="A29:F29"/>
    <mergeCell ref="C16:F16"/>
    <mergeCell ref="A2:C3"/>
    <mergeCell ref="D2:F2"/>
    <mergeCell ref="G2:G3"/>
    <mergeCell ref="B4:C4"/>
    <mergeCell ref="B5:C5"/>
    <mergeCell ref="B6:C6"/>
    <mergeCell ref="B7:C7"/>
    <mergeCell ref="B8:C8"/>
    <mergeCell ref="A11:C11"/>
    <mergeCell ref="C14:F14"/>
    <mergeCell ref="C15:F15"/>
  </mergeCells>
  <phoneticPr fontId="9" type="noConversion"/>
  <pageMargins left="0.75" right="0.75" top="1" bottom="1" header="0.5" footer="0.5"/>
  <pageSetup scale="80" orientation="portrait" horizontalDpi="4294967292" verticalDpi="4294967292" r:id="rId1"/>
  <rowBreaks count="1" manualBreakCount="1">
    <brk id="50" max="16383" man="1"/>
  </rowBreaks>
  <colBreaks count="1" manualBreakCount="1">
    <brk id="7" max="1048575" man="1"/>
  </colBreaks>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G50"/>
  <sheetViews>
    <sheetView topLeftCell="A33" workbookViewId="0">
      <selection activeCell="G49" sqref="G49"/>
    </sheetView>
  </sheetViews>
  <sheetFormatPr defaultColWidth="11" defaultRowHeight="15.75" x14ac:dyDescent="0.25"/>
  <cols>
    <col min="1" max="1" width="5.875" customWidth="1"/>
    <col min="2" max="2" width="7" customWidth="1"/>
    <col min="3" max="3" width="43.625" customWidth="1"/>
    <col min="7" max="7" width="14.625" customWidth="1"/>
  </cols>
  <sheetData>
    <row r="1" spans="1:7" s="140" customFormat="1" ht="24.95" customHeight="1" x14ac:dyDescent="0.25">
      <c r="A1" s="490" t="s">
        <v>273</v>
      </c>
      <c r="B1" s="490"/>
      <c r="C1" s="490"/>
      <c r="D1" s="490"/>
      <c r="E1" s="490"/>
      <c r="F1" s="490"/>
      <c r="G1" s="490"/>
    </row>
    <row r="2" spans="1:7" x14ac:dyDescent="0.25">
      <c r="A2" s="505" t="s">
        <v>101</v>
      </c>
      <c r="B2" s="506"/>
      <c r="C2" s="507"/>
      <c r="D2" s="468" t="s">
        <v>88</v>
      </c>
      <c r="E2" s="468"/>
      <c r="F2" s="468"/>
      <c r="G2" s="486" t="s">
        <v>92</v>
      </c>
    </row>
    <row r="3" spans="1:7" x14ac:dyDescent="0.25">
      <c r="A3" s="508"/>
      <c r="B3" s="509"/>
      <c r="C3" s="510"/>
      <c r="D3" s="74" t="s">
        <v>89</v>
      </c>
      <c r="E3" s="74" t="s">
        <v>90</v>
      </c>
      <c r="F3" s="74" t="s">
        <v>91</v>
      </c>
      <c r="G3" s="487"/>
    </row>
    <row r="4" spans="1:7" x14ac:dyDescent="0.25">
      <c r="A4" s="18" t="s">
        <v>93</v>
      </c>
      <c r="B4" s="469" t="str">
        <f>IF(G4&gt;0,CONCATENATE((INDEX('Salary &amp; Fringe'!$A$1:$A$300,MATCH("Senior Person 1",'Salary &amp; Fringe'!$E$1:$E$300,FALSE),1))," ",(INDEX('Salary &amp; Fringe'!$B$1:$B$300,MATCH("Senior Person 1",'Salary &amp; Fringe'!$E$1:$E$300,FALSE),1))),"")</f>
        <v/>
      </c>
      <c r="C4" s="469"/>
      <c r="D4" s="70">
        <f>SUMIFS('Salary &amp; Fringe'!$R$1:'Salary &amp; Fringe'!$R$300,'Salary &amp; Fringe'!$E$1:'Salary &amp; Fringe'!$E$300,"Senior Person 1",'Salary &amp; Fringe'!$F$1:'Salary &amp; Fringe'!$F$300,"Calendar(12)")</f>
        <v>0</v>
      </c>
      <c r="E4" s="70">
        <f>SUMIFS('Salary &amp; Fringe'!$R$1:'Salary &amp; Fringe'!$R$300,'Salary &amp; Fringe'!$E$1:'Salary &amp; Fringe'!$E$300,"Senior Person 1",'Salary &amp; Fringe'!$F$1:'Salary &amp; Fringe'!$F$300,"Academic")</f>
        <v>0</v>
      </c>
      <c r="F4" s="70">
        <f>SUMIFS('Salary &amp; Fringe'!$R$1:'Salary &amp; Fringe'!$R$300,'Salary &amp; Fringe'!$E$1:'Salary &amp; Fringe'!$E$300,"Senior Person 1",'Salary &amp; Fringe'!$F$1:'Salary &amp; Fringe'!$F$300,"Summer")</f>
        <v>0</v>
      </c>
      <c r="G4" s="129">
        <f>SUMIF('Salary &amp; Fringe'!$E$1:$E$300,"Senior Person 1",'Salary &amp; Fringe'!$AB$1:$AB$300)</f>
        <v>0</v>
      </c>
    </row>
    <row r="5" spans="1:7" x14ac:dyDescent="0.25">
      <c r="A5" s="18" t="s">
        <v>94</v>
      </c>
      <c r="B5" s="469" t="str">
        <f>IF(G5&gt;0,CONCATENATE((INDEX('Salary &amp; Fringe'!$A$1:$A$300,MATCH("Senior Person 2",'Salary &amp; Fringe'!$E$1:$E$300,FALSE),1))," ",(INDEX('Salary &amp; Fringe'!$B$1:$B$300,MATCH("Senior Person 2",'Salary &amp; Fringe'!$E$1:$E$300,FALSE),1))),"")</f>
        <v/>
      </c>
      <c r="C5" s="469"/>
      <c r="D5" s="70">
        <f>SUMIFS('Salary &amp; Fringe'!$R$1:'Salary &amp; Fringe'!$R$300,'Salary &amp; Fringe'!$E$1:'Salary &amp; Fringe'!$E$300,"Senior Person 2",'Salary &amp; Fringe'!$F$1:'Salary &amp; Fringe'!$F$300,"Calendar(12)")</f>
        <v>0</v>
      </c>
      <c r="E5" s="70">
        <f>SUMIFS('Salary &amp; Fringe'!$R$1:'Salary &amp; Fringe'!$R$300,'Salary &amp; Fringe'!$E$1:'Salary &amp; Fringe'!$E$300,"Senior Person 2",'Salary &amp; Fringe'!$F$1:'Salary &amp; Fringe'!$F$300,"Academic")</f>
        <v>0</v>
      </c>
      <c r="F5" s="70">
        <f>SUMIFS('Salary &amp; Fringe'!$R$1:'Salary &amp; Fringe'!$R$300,'Salary &amp; Fringe'!$E$1:'Salary &amp; Fringe'!$E$300,"Senior Person 2",'Salary &amp; Fringe'!$F$1:'Salary &amp; Fringe'!$F$300,"Summer")</f>
        <v>0</v>
      </c>
      <c r="G5" s="129">
        <f>SUMIF('Salary &amp; Fringe'!$E$1:$E$300,"Senior Person 2",'Salary &amp; Fringe'!$AB$1:$AB$300)</f>
        <v>0</v>
      </c>
    </row>
    <row r="6" spans="1:7" x14ac:dyDescent="0.25">
      <c r="A6" s="18" t="s">
        <v>95</v>
      </c>
      <c r="B6" s="469" t="str">
        <f>IF(G6&gt;0,CONCATENATE((INDEX('Salary &amp; Fringe'!$A$1:$A$300,MATCH("Senior Person 3",'Salary &amp; Fringe'!$E$1:$E$300,FALSE),1))," ",(INDEX('Salary &amp; Fringe'!$B$1:$B$300,MATCH("Senior Person 3",'Salary &amp; Fringe'!$E$1:$E$300,FALSE),1))),"")</f>
        <v/>
      </c>
      <c r="C6" s="469"/>
      <c r="D6" s="70">
        <f>SUMIFS('Salary &amp; Fringe'!$R$1:'Salary &amp; Fringe'!$R$300,'Salary &amp; Fringe'!$E$1:'Salary &amp; Fringe'!$E$300,"Senior Person 3",'Salary &amp; Fringe'!$F$1:'Salary &amp; Fringe'!$F$300,"Calendar(12)")</f>
        <v>0</v>
      </c>
      <c r="E6" s="70">
        <f>SUMIFS('Salary &amp; Fringe'!$R$1:'Salary &amp; Fringe'!$R$300,'Salary &amp; Fringe'!$E$1:'Salary &amp; Fringe'!$E$300,"Senior Person 3",'Salary &amp; Fringe'!$F$1:'Salary &amp; Fringe'!$F$300,"Academic")</f>
        <v>0</v>
      </c>
      <c r="F6" s="70">
        <f>SUMIFS('Salary &amp; Fringe'!$R$1:'Salary &amp; Fringe'!$R$300,'Salary &amp; Fringe'!$E$1:'Salary &amp; Fringe'!$E$300,"Senior Person 3",'Salary &amp; Fringe'!$F$1:'Salary &amp; Fringe'!$F$300,"Summer")</f>
        <v>0</v>
      </c>
      <c r="G6" s="129">
        <f>SUMIF('Salary &amp; Fringe'!$E$1:$E$300,"Senior Person 3",'Salary &amp; Fringe'!$AB$1:$AB$300)</f>
        <v>0</v>
      </c>
    </row>
    <row r="7" spans="1:7" x14ac:dyDescent="0.25">
      <c r="A7" s="18" t="s">
        <v>96</v>
      </c>
      <c r="B7" s="469" t="str">
        <f>IF(G7&gt;0,CONCATENATE((INDEX('Salary &amp; Fringe'!$A$1:$A$300,MATCH("Senior Person 4",'Salary &amp; Fringe'!$E$1:$E$300,FALSE),1))," ",(INDEX('Salary &amp; Fringe'!$B$1:$B$300,MATCH("Senior Person 4",'Salary &amp; Fringe'!$E$1:$E$300,FALSE),1))),"")</f>
        <v/>
      </c>
      <c r="C7" s="469"/>
      <c r="D7" s="70">
        <f>SUMIFS('Salary &amp; Fringe'!$R$1:'Salary &amp; Fringe'!$R$300,'Salary &amp; Fringe'!$E$1:'Salary &amp; Fringe'!$E$300,"Senior Person 4",'Salary &amp; Fringe'!$F$1:'Salary &amp; Fringe'!$F$300,"Calendar(12)")</f>
        <v>0</v>
      </c>
      <c r="E7" s="70">
        <f>SUMIFS('Salary &amp; Fringe'!$R$1:'Salary &amp; Fringe'!$R$300,'Salary &amp; Fringe'!$E$1:'Salary &amp; Fringe'!$E$300,"Senior Person 4",'Salary &amp; Fringe'!$F$1:'Salary &amp; Fringe'!$F$300,"Academic")</f>
        <v>0</v>
      </c>
      <c r="F7" s="70">
        <f>SUMIFS('Salary &amp; Fringe'!$R$1:'Salary &amp; Fringe'!$R$300,'Salary &amp; Fringe'!$E$1:'Salary &amp; Fringe'!$E$300,"Senior Person 4",'Salary &amp; Fringe'!$F$1:'Salary &amp; Fringe'!$F$300,"Summer")</f>
        <v>0</v>
      </c>
      <c r="G7" s="129">
        <f>SUMIF('Salary &amp; Fringe'!$E$1:$E$300,"Senior Person 4",'Salary &amp; Fringe'!$AB$1:$AB$300)</f>
        <v>0</v>
      </c>
    </row>
    <row r="8" spans="1:7" x14ac:dyDescent="0.25">
      <c r="A8" s="18" t="s">
        <v>97</v>
      </c>
      <c r="B8" s="469" t="str">
        <f>IF(G8&gt;0,CONCATENATE((INDEX('Salary &amp; Fringe'!$A$1:$A$300,MATCH("Senior Person 5",'Salary &amp; Fringe'!$E$1:$E$300,FALSE),1))," ",(INDEX('Salary &amp; Fringe'!$B$1:$B$300,MATCH("Senior Person 5",'Salary &amp; Fringe'!$E$1:$E$300,FALSE),1))),"")</f>
        <v/>
      </c>
      <c r="C8" s="469"/>
      <c r="D8" s="70">
        <f>SUMIFS('Salary &amp; Fringe'!$R$1:'Salary &amp; Fringe'!$R$300,'Salary &amp; Fringe'!$E$1:'Salary &amp; Fringe'!$E$300,"Senior Person 5",'Salary &amp; Fringe'!$F$1:'Salary &amp; Fringe'!$F$300,"Calendar(12)")</f>
        <v>0</v>
      </c>
      <c r="E8" s="70">
        <f>SUMIFS('Salary &amp; Fringe'!$R$1:'Salary &amp; Fringe'!$R$300,'Salary &amp; Fringe'!$E$1:'Salary &amp; Fringe'!$E$300,"Senior Person 5",'Salary &amp; Fringe'!$F$1:'Salary &amp; Fringe'!$F$300,"Academic")</f>
        <v>0</v>
      </c>
      <c r="F8" s="70">
        <f>SUMIFS('Salary &amp; Fringe'!$R$1:'Salary &amp; Fringe'!$R$300,'Salary &amp; Fringe'!$E$1:'Salary &amp; Fringe'!$E$300,"Senior Person 5",'Salary &amp; Fringe'!$F$1:'Salary &amp; Fringe'!$F$300,"Summer")</f>
        <v>0</v>
      </c>
      <c r="G8" s="129">
        <f>SUMIF('Salary &amp; Fringe'!$E$1:$E$300,"Senior Person 5",'Salary &amp; Fringe'!$AB$1:$AB$300)</f>
        <v>0</v>
      </c>
    </row>
    <row r="9" spans="1:7" x14ac:dyDescent="0.25">
      <c r="A9" s="18" t="s">
        <v>98</v>
      </c>
      <c r="B9" s="72">
        <f>SUMIFS('Salary &amp; Fringe'!$I$1:$I$300,'Salary &amp; Fringe'!$E$1:$E$300,"Senior (Other)", 'Salary &amp; Fringe'!$R$1:'Salary &amp; Fringe'!$R$300, "&gt;0")</f>
        <v>0</v>
      </c>
      <c r="C9" s="19" t="s">
        <v>100</v>
      </c>
      <c r="D9" s="70">
        <f>SUMIFS('Salary &amp; Fringe'!$R$1:'Salary &amp; Fringe'!$R$300,'Salary &amp; Fringe'!$E$1:'Salary &amp; Fringe'!$E$300,"Senior (Other)",'Salary &amp; Fringe'!$F$1:'Salary &amp; Fringe'!$F$300,"Calendar(12)")</f>
        <v>0</v>
      </c>
      <c r="E9" s="70">
        <f>SUMIFS('Salary &amp; Fringe'!$R$1:'Salary &amp; Fringe'!$R$300,'Salary &amp; Fringe'!$E$1:'Salary &amp; Fringe'!$E$300,"Senior (Other)",'Salary &amp; Fringe'!$F$1:'Salary &amp; Fringe'!$F$300,"Academic")</f>
        <v>0</v>
      </c>
      <c r="F9" s="70">
        <f>SUMIFS('Salary &amp; Fringe'!$R$1:'Salary &amp; Fringe'!$R$300,'Salary &amp; Fringe'!$E$1:'Salary &amp; Fringe'!$E$300,"Senior (Other)",'Salary &amp; Fringe'!$F$1:'Salary &amp; Fringe'!$F$300,"Summer")</f>
        <v>0</v>
      </c>
      <c r="G9" s="129">
        <f>SUMIF('Salary &amp; Fringe'!$E$1:$E$300,"Senior (Other)",'Salary &amp; Fringe'!$AB$1:$AB$300)</f>
        <v>0</v>
      </c>
    </row>
    <row r="10" spans="1:7" x14ac:dyDescent="0.25">
      <c r="A10" s="18" t="s">
        <v>99</v>
      </c>
      <c r="B10" s="76">
        <f>(COUNTIF(G4:G8,"&gt;0")+B9)</f>
        <v>0</v>
      </c>
      <c r="C10" s="19" t="s">
        <v>128</v>
      </c>
      <c r="D10" s="74">
        <f>SUM(D4:D9)</f>
        <v>0</v>
      </c>
      <c r="E10" s="74">
        <f>SUM(E4:E9)</f>
        <v>0</v>
      </c>
      <c r="F10" s="74">
        <f>SUM(F4:F9)</f>
        <v>0</v>
      </c>
      <c r="G10" s="130">
        <f>SUM(G4:G9)</f>
        <v>0</v>
      </c>
    </row>
    <row r="11" spans="1:7" x14ac:dyDescent="0.25">
      <c r="A11" s="470" t="s">
        <v>102</v>
      </c>
      <c r="B11" s="471"/>
      <c r="C11" s="472"/>
      <c r="D11" s="11"/>
      <c r="E11" s="11"/>
      <c r="F11" s="11"/>
      <c r="G11" s="131"/>
    </row>
    <row r="12" spans="1:7" x14ac:dyDescent="0.25">
      <c r="A12" s="18" t="s">
        <v>93</v>
      </c>
      <c r="B12" s="72">
        <f>SUMIFS('Salary &amp; Fringe'!$I$1:$I$300,'Salary &amp; Fringe'!$E$1:$E$300,"Postdoc", 'Salary &amp; Fringe'!$R$1:'Salary &amp; Fringe'!$R$300, "&gt;0")</f>
        <v>0</v>
      </c>
      <c r="C12" s="73" t="s">
        <v>103</v>
      </c>
      <c r="D12" s="71">
        <f>SUMIF('Salary &amp; Fringe'!$E$1:$E$300,"Postdoc",'Salary &amp; Fringe'!$R$1:$R$300)</f>
        <v>0</v>
      </c>
      <c r="E12" s="70">
        <v>0</v>
      </c>
      <c r="F12" s="70">
        <v>0</v>
      </c>
      <c r="G12" s="129">
        <f>SUMIF('Salary &amp; Fringe'!$E$1:$E$300,"Postdoc",'Salary &amp; Fringe'!$AB$1:$AB$300)</f>
        <v>0</v>
      </c>
    </row>
    <row r="13" spans="1:7" x14ac:dyDescent="0.25">
      <c r="A13" s="18" t="s">
        <v>94</v>
      </c>
      <c r="B13" s="72">
        <f>SUMIFS('Salary &amp; Fringe'!$I$1:$I$300,'Salary &amp; Fringe'!$E$1:$E$300,"Professional (Other)", 'Salary &amp; Fringe'!$R$1:'Salary &amp; Fringe'!$R$300, "&gt;0")</f>
        <v>0</v>
      </c>
      <c r="C13" s="73" t="s">
        <v>104</v>
      </c>
      <c r="D13" s="71">
        <f>SUMIF('Salary &amp; Fringe'!$E$1:$E$300,"Professional (Other)",'Salary &amp; Fringe'!$R$1:$R$300)</f>
        <v>0</v>
      </c>
      <c r="E13" s="70">
        <v>0</v>
      </c>
      <c r="F13" s="70">
        <v>0</v>
      </c>
      <c r="G13" s="129">
        <f>SUMIF('Salary &amp; Fringe'!$E$1:$E$300,"Professional (Other)",'Salary &amp; Fringe'!$AB$1:$AB$300)</f>
        <v>0</v>
      </c>
    </row>
    <row r="14" spans="1:7" x14ac:dyDescent="0.25">
      <c r="A14" s="18" t="s">
        <v>95</v>
      </c>
      <c r="B14" s="139"/>
      <c r="C14" s="473" t="s">
        <v>105</v>
      </c>
      <c r="D14" s="473"/>
      <c r="E14" s="473"/>
      <c r="F14" s="473"/>
      <c r="G14" s="129">
        <f>SUMIF('Salary &amp; Fringe'!$E$1:$E$300,"Grad",'Salary &amp; Fringe'!$AB$1:$AB$300)</f>
        <v>0</v>
      </c>
    </row>
    <row r="15" spans="1:7" x14ac:dyDescent="0.25">
      <c r="A15" s="18" t="s">
        <v>96</v>
      </c>
      <c r="B15" s="233"/>
      <c r="C15" s="474" t="s">
        <v>106</v>
      </c>
      <c r="D15" s="474"/>
      <c r="E15" s="474"/>
      <c r="F15" s="474"/>
      <c r="G15" s="129">
        <f>SUMIF('Salary &amp; Fringe'!$E$1:$E$300,"Undergrad",'Salary &amp; Fringe'!$AB$1:$AB$300)</f>
        <v>0</v>
      </c>
    </row>
    <row r="16" spans="1:7" x14ac:dyDescent="0.25">
      <c r="A16" s="18" t="s">
        <v>97</v>
      </c>
      <c r="B16" s="72">
        <f>SUMIFS('Salary &amp; Fringe'!$I$1:$I$300,'Salary &amp; Fringe'!$E$1:$E$300,"Clerical", 'Salary &amp; Fringe'!$R$1:'Salary &amp; Fringe'!$R$300, "&gt;0")</f>
        <v>0</v>
      </c>
      <c r="C16" s="473" t="s">
        <v>107</v>
      </c>
      <c r="D16" s="473"/>
      <c r="E16" s="473"/>
      <c r="F16" s="473"/>
      <c r="G16" s="129">
        <f>SUMIF('Salary &amp; Fringe'!$E$1:$E$300,"Clerical",'Salary &amp; Fringe'!$AB$1:$AB$300)</f>
        <v>0</v>
      </c>
    </row>
    <row r="17" spans="1:7" x14ac:dyDescent="0.25">
      <c r="A17" s="18" t="s">
        <v>98</v>
      </c>
      <c r="B17" s="72">
        <f>SUMIFS('Salary &amp; Fringe'!$I$1:$I$300,'Salary &amp; Fringe'!$E$1:$E$300,"Other*", 'Salary &amp; Fringe'!$R$1:'Salary &amp; Fringe'!$R$300, "&gt;0")</f>
        <v>0</v>
      </c>
      <c r="C17" s="474" t="s">
        <v>53</v>
      </c>
      <c r="D17" s="474"/>
      <c r="E17" s="474"/>
      <c r="F17" s="474"/>
      <c r="G17" s="129">
        <f>SUMIF('Salary &amp; Fringe'!$E$1:$E$300,"Other*",'Salary &amp; Fringe'!$AB$1:$AB$300)</f>
        <v>0</v>
      </c>
    </row>
    <row r="18" spans="1:7" x14ac:dyDescent="0.25">
      <c r="A18" s="475" t="s">
        <v>108</v>
      </c>
      <c r="B18" s="476"/>
      <c r="C18" s="476"/>
      <c r="D18" s="476"/>
      <c r="E18" s="476"/>
      <c r="F18" s="477"/>
      <c r="G18" s="130">
        <f>SUM(G10,G12:G17)</f>
        <v>0</v>
      </c>
    </row>
    <row r="19" spans="1:7" x14ac:dyDescent="0.25">
      <c r="A19" s="470" t="s">
        <v>109</v>
      </c>
      <c r="B19" s="471"/>
      <c r="C19" s="471"/>
      <c r="D19" s="471"/>
      <c r="E19" s="471"/>
      <c r="F19" s="472"/>
      <c r="G19" s="130">
        <f ca="1">TotalFringe6</f>
        <v>0</v>
      </c>
    </row>
    <row r="20" spans="1:7" x14ac:dyDescent="0.25">
      <c r="A20" s="475" t="s">
        <v>110</v>
      </c>
      <c r="B20" s="476"/>
      <c r="C20" s="476"/>
      <c r="D20" s="476"/>
      <c r="E20" s="476"/>
      <c r="F20" s="477"/>
      <c r="G20" s="130">
        <f ca="1">G18+G19</f>
        <v>0</v>
      </c>
    </row>
    <row r="21" spans="1:7" x14ac:dyDescent="0.25">
      <c r="A21" s="478" t="s">
        <v>111</v>
      </c>
      <c r="B21" s="479"/>
      <c r="C21" s="479"/>
      <c r="D21" s="479"/>
      <c r="E21" s="479"/>
      <c r="F21" s="480"/>
      <c r="G21" s="130"/>
    </row>
    <row r="22" spans="1:7" x14ac:dyDescent="0.25">
      <c r="A22" s="481" t="str">
        <f>IF(ISBLANK(Budget!P47),"",Budget!A47)</f>
        <v/>
      </c>
      <c r="B22" s="481"/>
      <c r="C22" s="481"/>
      <c r="D22" s="482" t="str">
        <f>IF(Budget!P47&gt;0,Budget!P47,"")</f>
        <v/>
      </c>
      <c r="E22" s="482"/>
      <c r="F22" s="482"/>
      <c r="G22" s="132"/>
    </row>
    <row r="23" spans="1:7" x14ac:dyDescent="0.25">
      <c r="A23" s="481" t="str">
        <f>IF(ISBLANK(Budget!P48),"",Budget!A48)</f>
        <v/>
      </c>
      <c r="B23" s="481"/>
      <c r="C23" s="481"/>
      <c r="D23" s="482" t="str">
        <f>IF(Budget!P48&gt;0,Budget!P48,"")</f>
        <v/>
      </c>
      <c r="E23" s="482"/>
      <c r="F23" s="482"/>
      <c r="G23" s="133"/>
    </row>
    <row r="24" spans="1:7" x14ac:dyDescent="0.25">
      <c r="A24" s="481" t="str">
        <f>IF(ISBLANK(Budget!P49),"",Budget!A49)</f>
        <v/>
      </c>
      <c r="B24" s="481"/>
      <c r="C24" s="481"/>
      <c r="D24" s="482" t="str">
        <f>IF(Budget!P49&gt;0,Budget!P49,"")</f>
        <v/>
      </c>
      <c r="E24" s="482"/>
      <c r="F24" s="482"/>
      <c r="G24" s="133"/>
    </row>
    <row r="25" spans="1:7" x14ac:dyDescent="0.25">
      <c r="A25" s="481" t="str">
        <f>IF(ISBLANK(Budget!P50),"",Budget!A50)</f>
        <v/>
      </c>
      <c r="B25" s="481"/>
      <c r="C25" s="481"/>
      <c r="D25" s="482" t="str">
        <f>IF(Budget!P50&gt;0,Budget!P50,"")</f>
        <v/>
      </c>
      <c r="E25" s="482"/>
      <c r="F25" s="482"/>
      <c r="G25" s="133"/>
    </row>
    <row r="26" spans="1:7" x14ac:dyDescent="0.25">
      <c r="A26" s="481" t="str">
        <f>IF(ISBLANK(Budget!P51),"",Budget!A51)</f>
        <v/>
      </c>
      <c r="B26" s="481"/>
      <c r="C26" s="481"/>
      <c r="D26" s="482" t="str">
        <f>IF(Budget!P51&gt;0,Budget!P51,"")</f>
        <v/>
      </c>
      <c r="E26" s="482"/>
      <c r="F26" s="482"/>
      <c r="G26" s="133"/>
    </row>
    <row r="27" spans="1:7" x14ac:dyDescent="0.25">
      <c r="A27" s="475" t="s">
        <v>58</v>
      </c>
      <c r="B27" s="476"/>
      <c r="C27" s="476"/>
      <c r="D27" s="476"/>
      <c r="E27" s="476"/>
      <c r="F27" s="477"/>
      <c r="G27" s="130">
        <f>Budget!P52</f>
        <v>0</v>
      </c>
    </row>
    <row r="28" spans="1:7" x14ac:dyDescent="0.25">
      <c r="A28" s="489" t="s">
        <v>112</v>
      </c>
      <c r="B28" s="489"/>
      <c r="C28" s="489"/>
      <c r="D28" s="489"/>
      <c r="E28" s="489"/>
      <c r="F28" s="489"/>
      <c r="G28" s="134"/>
    </row>
    <row r="29" spans="1:7" x14ac:dyDescent="0.25">
      <c r="A29" s="481" t="s">
        <v>203</v>
      </c>
      <c r="B29" s="481"/>
      <c r="C29" s="481"/>
      <c r="D29" s="481"/>
      <c r="E29" s="481"/>
      <c r="F29" s="481"/>
      <c r="G29" s="130">
        <f>Budget!P39</f>
        <v>0</v>
      </c>
    </row>
    <row r="30" spans="1:7" x14ac:dyDescent="0.25">
      <c r="A30" s="488" t="s">
        <v>113</v>
      </c>
      <c r="B30" s="488"/>
      <c r="C30" s="488"/>
      <c r="D30" s="488"/>
      <c r="E30" s="488"/>
      <c r="F30" s="488"/>
      <c r="G30" s="130">
        <f>Budget!P44</f>
        <v>0</v>
      </c>
    </row>
    <row r="31" spans="1:7" x14ac:dyDescent="0.25">
      <c r="A31" s="478" t="s">
        <v>114</v>
      </c>
      <c r="B31" s="479"/>
      <c r="C31" s="479"/>
      <c r="D31" s="498"/>
      <c r="E31" s="498"/>
      <c r="F31" s="499"/>
      <c r="G31" s="135"/>
    </row>
    <row r="32" spans="1:7" x14ac:dyDescent="0.25">
      <c r="A32" s="474" t="s">
        <v>115</v>
      </c>
      <c r="B32" s="474"/>
      <c r="C32" s="44">
        <f>SUMIF(Budget!$A$2:$A$504,"PS Stipends",Budget!$P$2:$P$504)</f>
        <v>0</v>
      </c>
      <c r="D32" s="20"/>
      <c r="E32" s="21"/>
      <c r="F32" s="21"/>
      <c r="G32" s="136"/>
    </row>
    <row r="33" spans="1:7" x14ac:dyDescent="0.25">
      <c r="A33" s="474" t="s">
        <v>116</v>
      </c>
      <c r="B33" s="474"/>
      <c r="C33" s="44">
        <f>SUMIF(Budget!$A$2:$A$504,"PS Travel",Budget!$P$2:$P$504)</f>
        <v>0</v>
      </c>
      <c r="D33" s="22"/>
      <c r="E33" s="23"/>
      <c r="F33" s="23"/>
      <c r="G33" s="136"/>
    </row>
    <row r="34" spans="1:7" x14ac:dyDescent="0.25">
      <c r="A34" s="474" t="s">
        <v>117</v>
      </c>
      <c r="B34" s="474"/>
      <c r="C34" s="44">
        <f>SUMIF(Budget!$A$2:$A$504,"PS Subsistence",Budget!$P$2:$P$504)</f>
        <v>0</v>
      </c>
      <c r="D34" s="22"/>
      <c r="E34" s="23"/>
      <c r="F34" s="23"/>
      <c r="G34" s="136"/>
    </row>
    <row r="35" spans="1:7" x14ac:dyDescent="0.25">
      <c r="A35" s="474" t="s">
        <v>118</v>
      </c>
      <c r="B35" s="474"/>
      <c r="C35" s="44">
        <f>SUMIF(Budget!$A$2:$A$504,"PS Other",Budget!$P$2:$P$504)</f>
        <v>0</v>
      </c>
      <c r="D35" s="12"/>
      <c r="E35" s="13"/>
      <c r="F35" s="13"/>
      <c r="G35" s="137"/>
    </row>
    <row r="36" spans="1:7" x14ac:dyDescent="0.25">
      <c r="A36" s="503"/>
      <c r="B36" s="504"/>
      <c r="C36" s="500" t="s">
        <v>59</v>
      </c>
      <c r="D36" s="501"/>
      <c r="E36" s="501"/>
      <c r="F36" s="502"/>
      <c r="G36" s="130">
        <f>Budget!P57</f>
        <v>0</v>
      </c>
    </row>
    <row r="37" spans="1:7" x14ac:dyDescent="0.25">
      <c r="A37" s="489" t="s">
        <v>119</v>
      </c>
      <c r="B37" s="489"/>
      <c r="C37" s="489"/>
      <c r="D37" s="489"/>
      <c r="E37" s="489"/>
      <c r="F37" s="489"/>
      <c r="G37" s="134"/>
    </row>
    <row r="38" spans="1:7" x14ac:dyDescent="0.25">
      <c r="A38" s="474" t="s">
        <v>120</v>
      </c>
      <c r="B38" s="474"/>
      <c r="C38" s="474"/>
      <c r="D38" s="474"/>
      <c r="E38" s="474"/>
      <c r="F38" s="474"/>
      <c r="G38" s="138">
        <f>SUMIF(Budget!$A$2:$A$504,"Materials &amp; Supplies",Budget!$P$2:$P$504)</f>
        <v>0</v>
      </c>
    </row>
    <row r="39" spans="1:7" x14ac:dyDescent="0.25">
      <c r="A39" s="474" t="s">
        <v>121</v>
      </c>
      <c r="B39" s="474"/>
      <c r="C39" s="474"/>
      <c r="D39" s="474"/>
      <c r="E39" s="474"/>
      <c r="F39" s="474"/>
      <c r="G39" s="138">
        <f>SUMIF(Budget!$A$2:$A$504,"Publication Costs/Page Charges",Budget!$P$2:$P$504)</f>
        <v>0</v>
      </c>
    </row>
    <row r="40" spans="1:7" x14ac:dyDescent="0.25">
      <c r="A40" s="474" t="s">
        <v>122</v>
      </c>
      <c r="B40" s="474"/>
      <c r="C40" s="474"/>
      <c r="D40" s="474"/>
      <c r="E40" s="474"/>
      <c r="F40" s="474"/>
      <c r="G40" s="138">
        <f>SUMIF(Budget!$A$2:$A$504,"Consultant Services",Budget!$P$2:$P$504)</f>
        <v>0</v>
      </c>
    </row>
    <row r="41" spans="1:7" x14ac:dyDescent="0.25">
      <c r="A41" s="474" t="s">
        <v>123</v>
      </c>
      <c r="B41" s="474"/>
      <c r="C41" s="474"/>
      <c r="D41" s="474"/>
      <c r="E41" s="474"/>
      <c r="F41" s="474"/>
      <c r="G41" s="138">
        <f>SUMIF(Budget!$A$2:$A$504,"Computer (ADPE) Services",Budget!$P$2:$P$504)</f>
        <v>0</v>
      </c>
    </row>
    <row r="42" spans="1:7" x14ac:dyDescent="0.25">
      <c r="A42" s="474" t="s">
        <v>124</v>
      </c>
      <c r="B42" s="474"/>
      <c r="C42" s="474"/>
      <c r="D42" s="474"/>
      <c r="E42" s="474"/>
      <c r="F42" s="474"/>
      <c r="G42" s="138">
        <f ca="1">TotalSubs6+TotalMulti6</f>
        <v>0</v>
      </c>
    </row>
    <row r="43" spans="1:7" x14ac:dyDescent="0.25">
      <c r="A43" s="474" t="s">
        <v>125</v>
      </c>
      <c r="B43" s="474"/>
      <c r="C43" s="474"/>
      <c r="D43" s="474"/>
      <c r="E43" s="474"/>
      <c r="F43" s="474"/>
      <c r="G43" s="138">
        <f>SUMIF(Budget!$A$2:$A$504,"Vendor Contract",Budget!$P$2:$P$504)+SUMIF(Budget!$A$2:$A$504,"Service Agreement",Budget!$P$2:$P$504)+SUMIF(Budget!$A$2:$A$504,"Space Rentals",Budget!$P$2:$P$504)+SUMIF(Budget!$A$2:$A$504,"Other*",Budget!$P$2:$P$504)+SUMIF(Budget!$A$2:$A$504,"Equipment or Facility*",Budget!$P$2:$P$504)+TotalGSR6</f>
        <v>0</v>
      </c>
    </row>
    <row r="44" spans="1:7" x14ac:dyDescent="0.25">
      <c r="A44" s="497" t="s">
        <v>127</v>
      </c>
      <c r="B44" s="497"/>
      <c r="C44" s="497"/>
      <c r="D44" s="497"/>
      <c r="E44" s="497"/>
      <c r="F44" s="497"/>
      <c r="G44" s="130">
        <f ca="1">SUM(G38:G43)</f>
        <v>0</v>
      </c>
    </row>
    <row r="45" spans="1:7" x14ac:dyDescent="0.25">
      <c r="A45" s="489" t="s">
        <v>126</v>
      </c>
      <c r="B45" s="489"/>
      <c r="C45" s="489"/>
      <c r="D45" s="489"/>
      <c r="E45" s="489"/>
      <c r="F45" s="489"/>
      <c r="G45" s="130">
        <f ca="1">SUM(G20+G27+G29+G30+G36+G44)</f>
        <v>0</v>
      </c>
    </row>
    <row r="46" spans="1:7" x14ac:dyDescent="0.25">
      <c r="A46" s="491" t="s">
        <v>129</v>
      </c>
      <c r="B46" s="492"/>
      <c r="C46" s="492"/>
      <c r="D46" s="492"/>
      <c r="E46" s="492"/>
      <c r="F46" s="493"/>
      <c r="G46" s="134"/>
    </row>
    <row r="47" spans="1:7" x14ac:dyDescent="0.25">
      <c r="C47" s="57" t="str">
        <f>Budget!P105</f>
        <v xml:space="preserve"> </v>
      </c>
      <c r="D47" s="75" t="s">
        <v>130</v>
      </c>
      <c r="E47" s="45">
        <f ca="1">Budget!P101</f>
        <v>0</v>
      </c>
      <c r="F47" t="s">
        <v>55</v>
      </c>
      <c r="G47" s="130">
        <f ca="1">Budget!P109</f>
        <v>0</v>
      </c>
    </row>
    <row r="48" spans="1:7" x14ac:dyDescent="0.25">
      <c r="A48" s="478" t="s">
        <v>131</v>
      </c>
      <c r="B48" s="479"/>
      <c r="C48" s="479"/>
      <c r="D48" s="479"/>
      <c r="E48" s="479"/>
      <c r="F48" s="480"/>
      <c r="G48" s="130">
        <f ca="1">G45+G47</f>
        <v>0</v>
      </c>
    </row>
    <row r="49" spans="1:7" x14ac:dyDescent="0.25">
      <c r="A49" s="494" t="s">
        <v>213</v>
      </c>
      <c r="B49" s="495"/>
      <c r="C49" s="495"/>
      <c r="D49" s="495"/>
      <c r="E49" s="495"/>
      <c r="F49" s="496"/>
      <c r="G49" s="141"/>
    </row>
    <row r="50" spans="1:7" x14ac:dyDescent="0.25">
      <c r="A50" s="483" t="s">
        <v>132</v>
      </c>
      <c r="B50" s="484"/>
      <c r="C50" s="484"/>
      <c r="D50" s="484"/>
      <c r="E50" s="484"/>
      <c r="F50" s="485"/>
      <c r="G50" s="138">
        <f ca="1">IF(G49&gt;0, G48-G49, G48)</f>
        <v>0</v>
      </c>
    </row>
  </sheetData>
  <sheetProtection algorithmName="SHA-512" hashValue="jqXDdxix3i8xZRUDOGxcz3lYDVtEGKi1iefGi/pGrNiGR8dcKwTWjYk+BxPEYJDkIE7Q8ryeAARHeQ7Waef6Sw==" saltValue="vQ7ngEb6yJQk69ssDxyBiQ==" spinCount="100000" sheet="1" objects="1" scenarios="1" selectLockedCells="1"/>
  <mergeCells count="52">
    <mergeCell ref="A1:G1"/>
    <mergeCell ref="B6:C6"/>
    <mergeCell ref="A22:C22"/>
    <mergeCell ref="D22:F22"/>
    <mergeCell ref="B7:C7"/>
    <mergeCell ref="B8:C8"/>
    <mergeCell ref="A11:C11"/>
    <mergeCell ref="C14:F14"/>
    <mergeCell ref="C15:F15"/>
    <mergeCell ref="C16:F16"/>
    <mergeCell ref="C17:F17"/>
    <mergeCell ref="A18:F18"/>
    <mergeCell ref="A19:F19"/>
    <mergeCell ref="A20:F20"/>
    <mergeCell ref="A21:F21"/>
    <mergeCell ref="A2:C3"/>
    <mergeCell ref="D2:F2"/>
    <mergeCell ref="G2:G3"/>
    <mergeCell ref="B4:C4"/>
    <mergeCell ref="B5:C5"/>
    <mergeCell ref="D23:F23"/>
    <mergeCell ref="A23:C23"/>
    <mergeCell ref="A24:C24"/>
    <mergeCell ref="D24:F24"/>
    <mergeCell ref="A46:F46"/>
    <mergeCell ref="A48:F48"/>
    <mergeCell ref="A26:C26"/>
    <mergeCell ref="D26:F26"/>
    <mergeCell ref="A30:F30"/>
    <mergeCell ref="A27:F27"/>
    <mergeCell ref="A28:F28"/>
    <mergeCell ref="A29:F29"/>
    <mergeCell ref="A38:F38"/>
    <mergeCell ref="A33:B33"/>
    <mergeCell ref="A31:F31"/>
    <mergeCell ref="A32:B32"/>
    <mergeCell ref="A49:F49"/>
    <mergeCell ref="A50:F50"/>
    <mergeCell ref="A25:C25"/>
    <mergeCell ref="D25:F25"/>
    <mergeCell ref="A45:F45"/>
    <mergeCell ref="A35:B35"/>
    <mergeCell ref="A36:B36"/>
    <mergeCell ref="A40:F40"/>
    <mergeCell ref="A41:F41"/>
    <mergeCell ref="A42:F42"/>
    <mergeCell ref="A43:F43"/>
    <mergeCell ref="A44:F44"/>
    <mergeCell ref="A39:F39"/>
    <mergeCell ref="A34:B34"/>
    <mergeCell ref="C36:F36"/>
    <mergeCell ref="A37:F37"/>
  </mergeCells>
  <phoneticPr fontId="9" type="noConversion"/>
  <pageMargins left="0.75" right="0.75" top="1" bottom="1" header="0.5" footer="0.5"/>
  <pageSetup scale="80" orientation="portrait" horizontalDpi="4294967292" verticalDpi="4294967292" r:id="rId1"/>
  <rowBreaks count="1" manualBreakCount="1">
    <brk id="50" max="16383" man="1"/>
  </rowBreaks>
  <colBreaks count="1" manualBreakCount="1">
    <brk id="7" max="1048575" man="1"/>
  </colBreak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G50"/>
  <sheetViews>
    <sheetView topLeftCell="A24" workbookViewId="0">
      <selection activeCell="G49" sqref="G49"/>
    </sheetView>
  </sheetViews>
  <sheetFormatPr defaultColWidth="11" defaultRowHeight="15.75" x14ac:dyDescent="0.25"/>
  <cols>
    <col min="1" max="1" width="5.875" customWidth="1"/>
    <col min="2" max="2" width="7" customWidth="1"/>
    <col min="3" max="3" width="43.625" customWidth="1"/>
    <col min="7" max="7" width="14.875" customWidth="1"/>
  </cols>
  <sheetData>
    <row r="1" spans="1:7" s="140" customFormat="1" ht="24.95" customHeight="1" x14ac:dyDescent="0.25">
      <c r="A1" s="490" t="s">
        <v>272</v>
      </c>
      <c r="B1" s="490"/>
      <c r="C1" s="490"/>
      <c r="D1" s="490"/>
      <c r="E1" s="490"/>
      <c r="F1" s="490"/>
      <c r="G1" s="490"/>
    </row>
    <row r="2" spans="1:7" x14ac:dyDescent="0.25">
      <c r="A2" s="505" t="s">
        <v>101</v>
      </c>
      <c r="B2" s="506"/>
      <c r="C2" s="507"/>
      <c r="D2" s="468" t="s">
        <v>88</v>
      </c>
      <c r="E2" s="468"/>
      <c r="F2" s="468"/>
      <c r="G2" s="486" t="s">
        <v>92</v>
      </c>
    </row>
    <row r="3" spans="1:7" x14ac:dyDescent="0.25">
      <c r="A3" s="508"/>
      <c r="B3" s="509"/>
      <c r="C3" s="510"/>
      <c r="D3" s="74" t="s">
        <v>89</v>
      </c>
      <c r="E3" s="74" t="s">
        <v>90</v>
      </c>
      <c r="F3" s="74" t="s">
        <v>91</v>
      </c>
      <c r="G3" s="487"/>
    </row>
    <row r="4" spans="1:7" x14ac:dyDescent="0.25">
      <c r="A4" s="18" t="s">
        <v>93</v>
      </c>
      <c r="B4" s="469" t="str">
        <f>IF(G4&gt;0,CONCATENATE((INDEX('Salary &amp; Fringe'!$A$1:$A$300,MATCH("Senior Person 1",'Salary &amp; Fringe'!$E$1:$E$300,FALSE),1))," ",(INDEX('Salary &amp; Fringe'!$B$1:$B$300,MATCH("Senior Person 1",'Salary &amp; Fringe'!$E$1:$E$300,FALSE),1))),"")</f>
        <v/>
      </c>
      <c r="C4" s="469"/>
      <c r="D4" s="70">
        <f>SUMIFS('Salary &amp; Fringe'!$S$1:'Salary &amp; Fringe'!$S$300,'Salary &amp; Fringe'!$E$1:'Salary &amp; Fringe'!$E$300,"Senior Person 1",'Salary &amp; Fringe'!$F$1:'Salary &amp; Fringe'!$F$300,"Calendar(12)")</f>
        <v>0</v>
      </c>
      <c r="E4" s="70">
        <f>SUMIFS('Salary &amp; Fringe'!$S$1:'Salary &amp; Fringe'!$S$300,'Salary &amp; Fringe'!$E$1:'Salary &amp; Fringe'!$E$300,"Senior Person 1",'Salary &amp; Fringe'!$F$1:'Salary &amp; Fringe'!$F$300,"Academic")</f>
        <v>0</v>
      </c>
      <c r="F4" s="70">
        <f>SUMIFS('Salary &amp; Fringe'!$S$1:'Salary &amp; Fringe'!$S$300,'Salary &amp; Fringe'!$E$1:'Salary &amp; Fringe'!$E$300,"Senior Person 1",'Salary &amp; Fringe'!$F$1:'Salary &amp; Fringe'!$F$300,"Summer")</f>
        <v>0</v>
      </c>
      <c r="G4" s="129">
        <f>SUMIF('Salary &amp; Fringe'!$E$1:$E$300,"Senior Person 1",'Salary &amp; Fringe'!$AC$1:$AC$300)</f>
        <v>0</v>
      </c>
    </row>
    <row r="5" spans="1:7" x14ac:dyDescent="0.25">
      <c r="A5" s="18" t="s">
        <v>94</v>
      </c>
      <c r="B5" s="469" t="str">
        <f>IF(G5&gt;0,CONCATENATE((INDEX('Salary &amp; Fringe'!$A$1:$A$300,MATCH("Senior Person 2",'Salary &amp; Fringe'!$E$1:$E$300,FALSE),1))," ",(INDEX('Salary &amp; Fringe'!$B$1:$B$300,MATCH("Senior Person 2",'Salary &amp; Fringe'!$E$1:$E$300,FALSE),1))),"")</f>
        <v/>
      </c>
      <c r="C5" s="469"/>
      <c r="D5" s="70">
        <f>SUMIFS('Salary &amp; Fringe'!$S$1:'Salary &amp; Fringe'!$S$300,'Salary &amp; Fringe'!$E$1:'Salary &amp; Fringe'!$E$300,"Senior Person 2",'Salary &amp; Fringe'!$F$1:'Salary &amp; Fringe'!$F$300,"Calendar(12)")</f>
        <v>0</v>
      </c>
      <c r="E5" s="70">
        <f>SUMIFS('Salary &amp; Fringe'!$S$1:'Salary &amp; Fringe'!$S$300,'Salary &amp; Fringe'!$E$1:'Salary &amp; Fringe'!$E$300,"Senior Person 2",'Salary &amp; Fringe'!$F$1:'Salary &amp; Fringe'!$F$300,"Academic")</f>
        <v>0</v>
      </c>
      <c r="F5" s="70">
        <f>SUMIFS('Salary &amp; Fringe'!$S$1:'Salary &amp; Fringe'!$S$300,'Salary &amp; Fringe'!$E$1:'Salary &amp; Fringe'!$E$300,"Senior Person 2",'Salary &amp; Fringe'!$F$1:'Salary &amp; Fringe'!$F$300,"Summer")</f>
        <v>0</v>
      </c>
      <c r="G5" s="129">
        <f>SUMIF('Salary &amp; Fringe'!$E$1:$E$300,"Senior Person 2",'Salary &amp; Fringe'!$AC$1:$AC$300)</f>
        <v>0</v>
      </c>
    </row>
    <row r="6" spans="1:7" x14ac:dyDescent="0.25">
      <c r="A6" s="18" t="s">
        <v>95</v>
      </c>
      <c r="B6" s="469" t="str">
        <f>IF(G6&gt;0,CONCATENATE((INDEX('Salary &amp; Fringe'!$A$1:$A$300,MATCH("Senior Person 3",'Salary &amp; Fringe'!$E$1:$E$300,FALSE),1))," ",(INDEX('Salary &amp; Fringe'!$B$1:$B$300,MATCH("Senior Person 3",'Salary &amp; Fringe'!$E$1:$E$300,FALSE),1))),"")</f>
        <v/>
      </c>
      <c r="C6" s="469"/>
      <c r="D6" s="70">
        <f>SUMIFS('Salary &amp; Fringe'!$S$1:'Salary &amp; Fringe'!$S$300,'Salary &amp; Fringe'!$E$1:'Salary &amp; Fringe'!$E$300,"Senior Person 3",'Salary &amp; Fringe'!$F$1:'Salary &amp; Fringe'!$F$300,"Calendar(12)")</f>
        <v>0</v>
      </c>
      <c r="E6" s="70">
        <f>SUMIFS('Salary &amp; Fringe'!$S$1:'Salary &amp; Fringe'!$S$300,'Salary &amp; Fringe'!$E$1:'Salary &amp; Fringe'!$E$300,"Senior Person 3",'Salary &amp; Fringe'!$F$1:'Salary &amp; Fringe'!$F$300,"Academic")</f>
        <v>0</v>
      </c>
      <c r="F6" s="70">
        <f>SUMIFS('Salary &amp; Fringe'!$S$1:'Salary &amp; Fringe'!$S$300,'Salary &amp; Fringe'!$E$1:'Salary &amp; Fringe'!$E$300,"Senior Person 3",'Salary &amp; Fringe'!$F$1:'Salary &amp; Fringe'!$F$300,"Summer")</f>
        <v>0</v>
      </c>
      <c r="G6" s="129">
        <f>SUMIF('Salary &amp; Fringe'!$E$1:$E$300,"Senior Person 3",'Salary &amp; Fringe'!$AC$1:$AC$300)</f>
        <v>0</v>
      </c>
    </row>
    <row r="7" spans="1:7" x14ac:dyDescent="0.25">
      <c r="A7" s="18" t="s">
        <v>96</v>
      </c>
      <c r="B7" s="469" t="str">
        <f>IF(G7&gt;0,CONCATENATE((INDEX('Salary &amp; Fringe'!$A$1:$A$300,MATCH("Senior Person 4",'Salary &amp; Fringe'!$E$1:$E$300,FALSE),1))," ",(INDEX('Salary &amp; Fringe'!$B$1:$B$300,MATCH("Senior Person 4",'Salary &amp; Fringe'!$E$1:$E$300,FALSE),1))),"")</f>
        <v/>
      </c>
      <c r="C7" s="469"/>
      <c r="D7" s="70">
        <f>SUMIFS('Salary &amp; Fringe'!$S$1:'Salary &amp; Fringe'!$S$300,'Salary &amp; Fringe'!$E$1:'Salary &amp; Fringe'!$E$300,"Senior Person 4",'Salary &amp; Fringe'!$F$1:'Salary &amp; Fringe'!$F$300,"Calendar(12)")</f>
        <v>0</v>
      </c>
      <c r="E7" s="70">
        <f>SUMIFS('Salary &amp; Fringe'!$S$1:'Salary &amp; Fringe'!$S$300,'Salary &amp; Fringe'!$E$1:'Salary &amp; Fringe'!$E$300,"Senior Person 4",'Salary &amp; Fringe'!$F$1:'Salary &amp; Fringe'!$F$300,"Academic")</f>
        <v>0</v>
      </c>
      <c r="F7" s="70">
        <f>SUMIFS('Salary &amp; Fringe'!$S$1:'Salary &amp; Fringe'!$S$300,'Salary &amp; Fringe'!$E$1:'Salary &amp; Fringe'!$E$300,"Senior Person 4",'Salary &amp; Fringe'!$F$1:'Salary &amp; Fringe'!$F$300,"Summer")</f>
        <v>0</v>
      </c>
      <c r="G7" s="129">
        <f>SUMIF('Salary &amp; Fringe'!$E$1:$E$300,"Senior Person 4",'Salary &amp; Fringe'!$AC$1:$AC$300)</f>
        <v>0</v>
      </c>
    </row>
    <row r="8" spans="1:7" x14ac:dyDescent="0.25">
      <c r="A8" s="18" t="s">
        <v>97</v>
      </c>
      <c r="B8" s="469" t="str">
        <f>IF(G8&gt;0,CONCATENATE((INDEX('Salary &amp; Fringe'!$A$1:$A$300,MATCH("Senior Person 5",'Salary &amp; Fringe'!$E$1:$E$300,FALSE),1))," ",(INDEX('Salary &amp; Fringe'!$B$1:$B$300,MATCH("Senior Person 5",'Salary &amp; Fringe'!$E$1:$E$300,FALSE),1))),"")</f>
        <v/>
      </c>
      <c r="C8" s="469"/>
      <c r="D8" s="70">
        <f>SUMIFS('Salary &amp; Fringe'!$S$1:'Salary &amp; Fringe'!$S$300,'Salary &amp; Fringe'!$E$1:'Salary &amp; Fringe'!$E$300,"Senior Person 5",'Salary &amp; Fringe'!$F$1:'Salary &amp; Fringe'!$F$300,"Calendar(12)")</f>
        <v>0</v>
      </c>
      <c r="E8" s="70">
        <f>SUMIFS('Salary &amp; Fringe'!$S$1:'Salary &amp; Fringe'!$S$300,'Salary &amp; Fringe'!$E$1:'Salary &amp; Fringe'!$E$300,"Senior Person 5",'Salary &amp; Fringe'!$F$1:'Salary &amp; Fringe'!$F$300,"Academic")</f>
        <v>0</v>
      </c>
      <c r="F8" s="70">
        <f>SUMIFS('Salary &amp; Fringe'!$S$1:'Salary &amp; Fringe'!$S$300,'Salary &amp; Fringe'!$E$1:'Salary &amp; Fringe'!$E$300,"Senior Person 5",'Salary &amp; Fringe'!$F$1:'Salary &amp; Fringe'!$F$300,"Summer")</f>
        <v>0</v>
      </c>
      <c r="G8" s="129">
        <f>SUMIF('Salary &amp; Fringe'!$E$1:$E$300,"Senior Person 5",'Salary &amp; Fringe'!$AC$1:$AC$300)</f>
        <v>0</v>
      </c>
    </row>
    <row r="9" spans="1:7" x14ac:dyDescent="0.25">
      <c r="A9" s="18" t="s">
        <v>98</v>
      </c>
      <c r="B9" s="72">
        <f>SUMIFS('Salary &amp; Fringe'!$I$1:$I$300,'Salary &amp; Fringe'!$E$1:$E$300,"Senior (Other)", 'Salary &amp; Fringe'!$S$1:'Salary &amp; Fringe'!$S$300, "&gt;0")</f>
        <v>0</v>
      </c>
      <c r="C9" s="19" t="s">
        <v>100</v>
      </c>
      <c r="D9" s="70">
        <f>SUMIFS('Salary &amp; Fringe'!$S$1:'Salary &amp; Fringe'!$S$300,'Salary &amp; Fringe'!$E$1:'Salary &amp; Fringe'!$E$300,"Senior (Other)",'Salary &amp; Fringe'!$F$1:'Salary &amp; Fringe'!$F$300,"Calendar(12)")</f>
        <v>0</v>
      </c>
      <c r="E9" s="70">
        <f>SUMIFS('Salary &amp; Fringe'!$S$1:'Salary &amp; Fringe'!$S$300,'Salary &amp; Fringe'!$E$1:'Salary &amp; Fringe'!$E$300,"Senior (Other)",'Salary &amp; Fringe'!$F$1:'Salary &amp; Fringe'!$F$300,"Academic")</f>
        <v>0</v>
      </c>
      <c r="F9" s="70">
        <f>SUMIFS('Salary &amp; Fringe'!$S$1:'Salary &amp; Fringe'!$S$300,'Salary &amp; Fringe'!$E$1:'Salary &amp; Fringe'!$E$300,"Senior (Other)",'Salary &amp; Fringe'!$F$1:'Salary &amp; Fringe'!$F$300,"Summer")</f>
        <v>0</v>
      </c>
      <c r="G9" s="129">
        <f>SUMIF('Salary &amp; Fringe'!$E$1:$E$300,"Senior (Other)",'Salary &amp; Fringe'!$AC$1:$AC$300)</f>
        <v>0</v>
      </c>
    </row>
    <row r="10" spans="1:7" x14ac:dyDescent="0.25">
      <c r="A10" s="18" t="s">
        <v>99</v>
      </c>
      <c r="B10" s="76">
        <f>(COUNTIF(G4:G8,"&gt;0")+B9)</f>
        <v>0</v>
      </c>
      <c r="C10" s="19" t="s">
        <v>128</v>
      </c>
      <c r="D10" s="74">
        <f>SUM(D4:D9)</f>
        <v>0</v>
      </c>
      <c r="E10" s="74">
        <f>SUM(E4:E9)</f>
        <v>0</v>
      </c>
      <c r="F10" s="74">
        <f>SUM(F4:F9)</f>
        <v>0</v>
      </c>
      <c r="G10" s="130">
        <f>SUM(G4:G9)</f>
        <v>0</v>
      </c>
    </row>
    <row r="11" spans="1:7" x14ac:dyDescent="0.25">
      <c r="A11" s="470" t="s">
        <v>102</v>
      </c>
      <c r="B11" s="471"/>
      <c r="C11" s="472"/>
      <c r="D11" s="11"/>
      <c r="E11" s="11"/>
      <c r="F11" s="11"/>
      <c r="G11" s="131"/>
    </row>
    <row r="12" spans="1:7" x14ac:dyDescent="0.25">
      <c r="A12" s="18" t="s">
        <v>93</v>
      </c>
      <c r="B12" s="72">
        <f>SUMIFS('Salary &amp; Fringe'!$I$1:$I$300,'Salary &amp; Fringe'!$E$1:$E$300,"Postdoc", 'Salary &amp; Fringe'!$S$1:'Salary &amp; Fringe'!$S$300, "&gt;0")</f>
        <v>0</v>
      </c>
      <c r="C12" s="73" t="s">
        <v>103</v>
      </c>
      <c r="D12" s="71">
        <f>SUMIF('Salary &amp; Fringe'!$E$1:$E$300,"Postdoc",'Salary &amp; Fringe'!$S$1:$S$300)</f>
        <v>0</v>
      </c>
      <c r="E12" s="70">
        <v>0</v>
      </c>
      <c r="F12" s="70">
        <v>0</v>
      </c>
      <c r="G12" s="129">
        <f>SUMIF('Salary &amp; Fringe'!$E$1:$E$300,"Postdoc",'Salary &amp; Fringe'!$AC$1:$AC$300)</f>
        <v>0</v>
      </c>
    </row>
    <row r="13" spans="1:7" x14ac:dyDescent="0.25">
      <c r="A13" s="18" t="s">
        <v>94</v>
      </c>
      <c r="B13" s="72">
        <f>SUMIFS('Salary &amp; Fringe'!$I$1:$I$300,'Salary &amp; Fringe'!$E$1:$E$300,"Professional (Other)", 'Salary &amp; Fringe'!$S$1:'Salary &amp; Fringe'!$S$300, "&gt;0")</f>
        <v>0</v>
      </c>
      <c r="C13" s="73" t="s">
        <v>104</v>
      </c>
      <c r="D13" s="71">
        <f>SUMIF('Salary &amp; Fringe'!$E$1:$E$300,"Professional (Other)",'Salary &amp; Fringe'!$S$1:$S$300)</f>
        <v>0</v>
      </c>
      <c r="E13" s="70">
        <v>0</v>
      </c>
      <c r="F13" s="70">
        <v>0</v>
      </c>
      <c r="G13" s="129">
        <f>SUMIF('Salary &amp; Fringe'!$E$1:$E$300,"Professional (Other)",'Salary &amp; Fringe'!$AC$1:$AC$300)</f>
        <v>0</v>
      </c>
    </row>
    <row r="14" spans="1:7" x14ac:dyDescent="0.25">
      <c r="A14" s="18" t="s">
        <v>95</v>
      </c>
      <c r="B14" s="139"/>
      <c r="C14" s="473" t="s">
        <v>105</v>
      </c>
      <c r="D14" s="473"/>
      <c r="E14" s="473"/>
      <c r="F14" s="473"/>
      <c r="G14" s="129">
        <f>SUMIF('Salary &amp; Fringe'!$E$1:$E$300,"Grad",'Salary &amp; Fringe'!$AC$1:$AC$300)</f>
        <v>0</v>
      </c>
    </row>
    <row r="15" spans="1:7" x14ac:dyDescent="0.25">
      <c r="A15" s="18" t="s">
        <v>96</v>
      </c>
      <c r="B15" s="233"/>
      <c r="C15" s="474" t="s">
        <v>106</v>
      </c>
      <c r="D15" s="474"/>
      <c r="E15" s="474"/>
      <c r="F15" s="474"/>
      <c r="G15" s="129">
        <f>SUMIF('Salary &amp; Fringe'!$E$1:$E$300,"Undergrad",'Salary &amp; Fringe'!$AC$1:$AC$300)</f>
        <v>0</v>
      </c>
    </row>
    <row r="16" spans="1:7" x14ac:dyDescent="0.25">
      <c r="A16" s="18" t="s">
        <v>97</v>
      </c>
      <c r="B16" s="72">
        <f>SUMIFS('Salary &amp; Fringe'!$I$1:$I$300,'Salary &amp; Fringe'!$E$1:$E$300,"Clerical", 'Salary &amp; Fringe'!$S$1:'Salary &amp; Fringe'!$S$300, "&gt;0")</f>
        <v>0</v>
      </c>
      <c r="C16" s="473" t="s">
        <v>107</v>
      </c>
      <c r="D16" s="473"/>
      <c r="E16" s="473"/>
      <c r="F16" s="473"/>
      <c r="G16" s="129">
        <f>SUMIF('Salary &amp; Fringe'!$E$1:$E$300,"Clerical",'Salary &amp; Fringe'!$AC$1:$AC$300)</f>
        <v>0</v>
      </c>
    </row>
    <row r="17" spans="1:7" x14ac:dyDescent="0.25">
      <c r="A17" s="18" t="s">
        <v>98</v>
      </c>
      <c r="B17" s="72">
        <f>SUMIFS('Salary &amp; Fringe'!$I$1:$I$300,'Salary &amp; Fringe'!$E$1:$E$300,"Other*", 'Salary &amp; Fringe'!$S$1:'Salary &amp; Fringe'!$S$300, "&gt;0")</f>
        <v>0</v>
      </c>
      <c r="C17" s="474" t="s">
        <v>53</v>
      </c>
      <c r="D17" s="474"/>
      <c r="E17" s="474"/>
      <c r="F17" s="474"/>
      <c r="G17" s="129">
        <f>SUMIF('Salary &amp; Fringe'!$E$1:$E$300,"Other*",'Salary &amp; Fringe'!$AC$1:$AC$300)</f>
        <v>0</v>
      </c>
    </row>
    <row r="18" spans="1:7" x14ac:dyDescent="0.25">
      <c r="A18" s="475" t="s">
        <v>108</v>
      </c>
      <c r="B18" s="476"/>
      <c r="C18" s="476"/>
      <c r="D18" s="476"/>
      <c r="E18" s="476"/>
      <c r="F18" s="477"/>
      <c r="G18" s="130">
        <f>SUM(G10,G12:G17)</f>
        <v>0</v>
      </c>
    </row>
    <row r="19" spans="1:7" x14ac:dyDescent="0.25">
      <c r="A19" s="470" t="s">
        <v>109</v>
      </c>
      <c r="B19" s="471"/>
      <c r="C19" s="471"/>
      <c r="D19" s="471"/>
      <c r="E19" s="471"/>
      <c r="F19" s="472"/>
      <c r="G19" s="130">
        <f ca="1">TotalFringe7</f>
        <v>0</v>
      </c>
    </row>
    <row r="20" spans="1:7" x14ac:dyDescent="0.25">
      <c r="A20" s="475" t="s">
        <v>110</v>
      </c>
      <c r="B20" s="476"/>
      <c r="C20" s="476"/>
      <c r="D20" s="476"/>
      <c r="E20" s="476"/>
      <c r="F20" s="477"/>
      <c r="G20" s="130">
        <f ca="1">G18+G19</f>
        <v>0</v>
      </c>
    </row>
    <row r="21" spans="1:7" x14ac:dyDescent="0.25">
      <c r="A21" s="478" t="s">
        <v>111</v>
      </c>
      <c r="B21" s="479"/>
      <c r="C21" s="479"/>
      <c r="D21" s="479"/>
      <c r="E21" s="479"/>
      <c r="F21" s="480"/>
      <c r="G21" s="130"/>
    </row>
    <row r="22" spans="1:7" x14ac:dyDescent="0.25">
      <c r="A22" s="481" t="str">
        <f>IF(ISBLANK(Budget!R47),"",Budget!A47)</f>
        <v/>
      </c>
      <c r="B22" s="481"/>
      <c r="C22" s="481"/>
      <c r="D22" s="482" t="str">
        <f>IF(Budget!R47&gt;0,Budget!R47,"")</f>
        <v/>
      </c>
      <c r="E22" s="482"/>
      <c r="F22" s="482"/>
      <c r="G22" s="132"/>
    </row>
    <row r="23" spans="1:7" x14ac:dyDescent="0.25">
      <c r="A23" s="481" t="str">
        <f>IF(ISBLANK(Budget!R48),"",Budget!A48)</f>
        <v/>
      </c>
      <c r="B23" s="481"/>
      <c r="C23" s="481"/>
      <c r="D23" s="482" t="str">
        <f>IF(Budget!R48&gt;0,Budget!R48,"")</f>
        <v/>
      </c>
      <c r="E23" s="482"/>
      <c r="F23" s="482"/>
      <c r="G23" s="133"/>
    </row>
    <row r="24" spans="1:7" x14ac:dyDescent="0.25">
      <c r="A24" s="481" t="str">
        <f>IF(ISBLANK(Budget!R49),"",Budget!A49)</f>
        <v/>
      </c>
      <c r="B24" s="481"/>
      <c r="C24" s="481"/>
      <c r="D24" s="482" t="str">
        <f>IF(Budget!R49&gt;0,Budget!R49,"")</f>
        <v/>
      </c>
      <c r="E24" s="482"/>
      <c r="F24" s="482"/>
      <c r="G24" s="133"/>
    </row>
    <row r="25" spans="1:7" x14ac:dyDescent="0.25">
      <c r="A25" s="481" t="str">
        <f>IF(ISBLANK(Budget!R50),"",Budget!A50)</f>
        <v/>
      </c>
      <c r="B25" s="481"/>
      <c r="C25" s="481"/>
      <c r="D25" s="482" t="str">
        <f>IF(Budget!R50&gt;0,Budget!R50,"")</f>
        <v/>
      </c>
      <c r="E25" s="482"/>
      <c r="F25" s="482"/>
      <c r="G25" s="133"/>
    </row>
    <row r="26" spans="1:7" x14ac:dyDescent="0.25">
      <c r="A26" s="481" t="str">
        <f>IF(ISBLANK(Budget!R51),"",Budget!A51)</f>
        <v/>
      </c>
      <c r="B26" s="481"/>
      <c r="C26" s="481"/>
      <c r="D26" s="482" t="str">
        <f>IF(Budget!R51&gt;0,Budget!R51,"")</f>
        <v/>
      </c>
      <c r="E26" s="482"/>
      <c r="F26" s="482"/>
      <c r="G26" s="133"/>
    </row>
    <row r="27" spans="1:7" x14ac:dyDescent="0.25">
      <c r="A27" s="475" t="s">
        <v>58</v>
      </c>
      <c r="B27" s="476"/>
      <c r="C27" s="476"/>
      <c r="D27" s="476"/>
      <c r="E27" s="476"/>
      <c r="F27" s="477"/>
      <c r="G27" s="130">
        <f>Budget!R52</f>
        <v>0</v>
      </c>
    </row>
    <row r="28" spans="1:7" x14ac:dyDescent="0.25">
      <c r="A28" s="489" t="s">
        <v>112</v>
      </c>
      <c r="B28" s="489"/>
      <c r="C28" s="489"/>
      <c r="D28" s="489"/>
      <c r="E28" s="489"/>
      <c r="F28" s="489"/>
      <c r="G28" s="134"/>
    </row>
    <row r="29" spans="1:7" x14ac:dyDescent="0.25">
      <c r="A29" s="481" t="s">
        <v>203</v>
      </c>
      <c r="B29" s="481"/>
      <c r="C29" s="481"/>
      <c r="D29" s="481"/>
      <c r="E29" s="481"/>
      <c r="F29" s="481"/>
      <c r="G29" s="130">
        <f>Budget!R39</f>
        <v>0</v>
      </c>
    </row>
    <row r="30" spans="1:7" x14ac:dyDescent="0.25">
      <c r="A30" s="488" t="s">
        <v>113</v>
      </c>
      <c r="B30" s="488"/>
      <c r="C30" s="488"/>
      <c r="D30" s="488"/>
      <c r="E30" s="488"/>
      <c r="F30" s="488"/>
      <c r="G30" s="130">
        <f>Budget!R44</f>
        <v>0</v>
      </c>
    </row>
    <row r="31" spans="1:7" x14ac:dyDescent="0.25">
      <c r="A31" s="478" t="s">
        <v>114</v>
      </c>
      <c r="B31" s="479"/>
      <c r="C31" s="479"/>
      <c r="D31" s="498"/>
      <c r="E31" s="498"/>
      <c r="F31" s="499"/>
      <c r="G31" s="135"/>
    </row>
    <row r="32" spans="1:7" x14ac:dyDescent="0.25">
      <c r="A32" s="474" t="s">
        <v>115</v>
      </c>
      <c r="B32" s="474"/>
      <c r="C32" s="44">
        <f>SUMIF(Budget!$A$2:$A$504,"PS Stipends",Budget!$R$2:$R$504)</f>
        <v>0</v>
      </c>
      <c r="D32" s="20"/>
      <c r="E32" s="21"/>
      <c r="F32" s="21"/>
      <c r="G32" s="136"/>
    </row>
    <row r="33" spans="1:7" x14ac:dyDescent="0.25">
      <c r="A33" s="474" t="s">
        <v>116</v>
      </c>
      <c r="B33" s="474"/>
      <c r="C33" s="44">
        <f>SUMIF(Budget!$A$2:$A$504,"PS Travel",Budget!$R$2:$R$504)</f>
        <v>0</v>
      </c>
      <c r="D33" s="22"/>
      <c r="E33" s="23"/>
      <c r="F33" s="23"/>
      <c r="G33" s="136"/>
    </row>
    <row r="34" spans="1:7" x14ac:dyDescent="0.25">
      <c r="A34" s="474" t="s">
        <v>117</v>
      </c>
      <c r="B34" s="474"/>
      <c r="C34" s="44">
        <f>SUMIF(Budget!$A$2:$A$504,"PS Subsistence",Budget!$R$2:$R$504)</f>
        <v>0</v>
      </c>
      <c r="D34" s="22"/>
      <c r="E34" s="23"/>
      <c r="F34" s="23"/>
      <c r="G34" s="136"/>
    </row>
    <row r="35" spans="1:7" x14ac:dyDescent="0.25">
      <c r="A35" s="474" t="s">
        <v>118</v>
      </c>
      <c r="B35" s="474"/>
      <c r="C35" s="44">
        <f>SUMIF(Budget!$A$2:$A$504,"PS Other",Budget!$R$2:$R$504)</f>
        <v>0</v>
      </c>
      <c r="D35" s="12"/>
      <c r="E35" s="13"/>
      <c r="F35" s="13"/>
      <c r="G35" s="137"/>
    </row>
    <row r="36" spans="1:7" x14ac:dyDescent="0.25">
      <c r="A36" s="503"/>
      <c r="B36" s="504"/>
      <c r="C36" s="500" t="s">
        <v>59</v>
      </c>
      <c r="D36" s="501"/>
      <c r="E36" s="501"/>
      <c r="F36" s="502"/>
      <c r="G36" s="130">
        <f>Budget!R57</f>
        <v>0</v>
      </c>
    </row>
    <row r="37" spans="1:7" x14ac:dyDescent="0.25">
      <c r="A37" s="489" t="s">
        <v>119</v>
      </c>
      <c r="B37" s="489"/>
      <c r="C37" s="489"/>
      <c r="D37" s="489"/>
      <c r="E37" s="489"/>
      <c r="F37" s="489"/>
      <c r="G37" s="134"/>
    </row>
    <row r="38" spans="1:7" x14ac:dyDescent="0.25">
      <c r="A38" s="474" t="s">
        <v>120</v>
      </c>
      <c r="B38" s="474"/>
      <c r="C38" s="474"/>
      <c r="D38" s="474"/>
      <c r="E38" s="474"/>
      <c r="F38" s="474"/>
      <c r="G38" s="138">
        <f>SUMIF(Budget!$A$2:$A$504,"Materials &amp; Supplies",Budget!$R$2:$R$504)</f>
        <v>0</v>
      </c>
    </row>
    <row r="39" spans="1:7" x14ac:dyDescent="0.25">
      <c r="A39" s="474" t="s">
        <v>121</v>
      </c>
      <c r="B39" s="474"/>
      <c r="C39" s="474"/>
      <c r="D39" s="474"/>
      <c r="E39" s="474"/>
      <c r="F39" s="474"/>
      <c r="G39" s="138">
        <f>SUMIF(Budget!$A$2:$A$504,"Publication Costs/Page Charges",Budget!$R$2:$R$504)</f>
        <v>0</v>
      </c>
    </row>
    <row r="40" spans="1:7" x14ac:dyDescent="0.25">
      <c r="A40" s="474" t="s">
        <v>122</v>
      </c>
      <c r="B40" s="474"/>
      <c r="C40" s="474"/>
      <c r="D40" s="474"/>
      <c r="E40" s="474"/>
      <c r="F40" s="474"/>
      <c r="G40" s="138">
        <f>SUMIF(Budget!$A$2:$A$504,"Consultant Services",Budget!$R$2:$R$504)</f>
        <v>0</v>
      </c>
    </row>
    <row r="41" spans="1:7" x14ac:dyDescent="0.25">
      <c r="A41" s="474" t="s">
        <v>123</v>
      </c>
      <c r="B41" s="474"/>
      <c r="C41" s="474"/>
      <c r="D41" s="474"/>
      <c r="E41" s="474"/>
      <c r="F41" s="474"/>
      <c r="G41" s="138">
        <f>SUMIF(Budget!$A$2:$A$504,"Computer (ADPE) Services",Budget!$R$2:$R$504)</f>
        <v>0</v>
      </c>
    </row>
    <row r="42" spans="1:7" x14ac:dyDescent="0.25">
      <c r="A42" s="474" t="s">
        <v>124</v>
      </c>
      <c r="B42" s="474"/>
      <c r="C42" s="474"/>
      <c r="D42" s="474"/>
      <c r="E42" s="474"/>
      <c r="F42" s="474"/>
      <c r="G42" s="138">
        <f ca="1">TotalSubs7+TotalMulti7</f>
        <v>0</v>
      </c>
    </row>
    <row r="43" spans="1:7" x14ac:dyDescent="0.25">
      <c r="A43" s="474" t="s">
        <v>125</v>
      </c>
      <c r="B43" s="474"/>
      <c r="C43" s="474"/>
      <c r="D43" s="474"/>
      <c r="E43" s="474"/>
      <c r="F43" s="474"/>
      <c r="G43" s="138">
        <f>SUMIF(Budget!$A$2:$A$504,"Vendor Contract",Budget!$R$2:$R$504)+SUMIF(Budget!$A$2:$A$504,"Service Agreement",Budget!$R$2:$R$504)+SUMIF(Budget!$A$2:$A$504,"Space Rentals",Budget!$R$2:$R$504)+SUMIF(Budget!$A$2:$A$504,"Other*",Budget!$R$2:$R$504)+SUMIF(Budget!$A$2:$A$504,"Equipment or Facility*",Budget!$R$2:$R$504)+TotalGSR7</f>
        <v>0</v>
      </c>
    </row>
    <row r="44" spans="1:7" x14ac:dyDescent="0.25">
      <c r="A44" s="497" t="s">
        <v>127</v>
      </c>
      <c r="B44" s="497"/>
      <c r="C44" s="497"/>
      <c r="D44" s="497"/>
      <c r="E44" s="497"/>
      <c r="F44" s="497"/>
      <c r="G44" s="130">
        <f ca="1">SUM(G38:G43)</f>
        <v>0</v>
      </c>
    </row>
    <row r="45" spans="1:7" x14ac:dyDescent="0.25">
      <c r="A45" s="489" t="s">
        <v>126</v>
      </c>
      <c r="B45" s="489"/>
      <c r="C45" s="489"/>
      <c r="D45" s="489"/>
      <c r="E45" s="489"/>
      <c r="F45" s="489"/>
      <c r="G45" s="130">
        <f ca="1">SUM(G20+G27+G29+G30+G36+G44)</f>
        <v>0</v>
      </c>
    </row>
    <row r="46" spans="1:7" x14ac:dyDescent="0.25">
      <c r="A46" s="491" t="s">
        <v>129</v>
      </c>
      <c r="B46" s="492"/>
      <c r="C46" s="492"/>
      <c r="D46" s="492"/>
      <c r="E46" s="492"/>
      <c r="F46" s="493"/>
      <c r="G46" s="134"/>
    </row>
    <row r="47" spans="1:7" x14ac:dyDescent="0.25">
      <c r="C47" s="57" t="str">
        <f>Budget!R105</f>
        <v xml:space="preserve"> </v>
      </c>
      <c r="D47" s="75" t="s">
        <v>130</v>
      </c>
      <c r="E47" s="45">
        <f ca="1">Budget!R101</f>
        <v>0</v>
      </c>
      <c r="F47" t="s">
        <v>55</v>
      </c>
      <c r="G47" s="130">
        <f ca="1">Budget!R109</f>
        <v>0</v>
      </c>
    </row>
    <row r="48" spans="1:7" x14ac:dyDescent="0.25">
      <c r="A48" s="478" t="s">
        <v>131</v>
      </c>
      <c r="B48" s="479"/>
      <c r="C48" s="479"/>
      <c r="D48" s="479"/>
      <c r="E48" s="479"/>
      <c r="F48" s="480"/>
      <c r="G48" s="130">
        <f ca="1">G45+G47</f>
        <v>0</v>
      </c>
    </row>
    <row r="49" spans="1:7" x14ac:dyDescent="0.25">
      <c r="A49" s="494" t="s">
        <v>213</v>
      </c>
      <c r="B49" s="495"/>
      <c r="C49" s="495"/>
      <c r="D49" s="495"/>
      <c r="E49" s="495"/>
      <c r="F49" s="496"/>
      <c r="G49" s="141"/>
    </row>
    <row r="50" spans="1:7" x14ac:dyDescent="0.25">
      <c r="A50" s="483" t="s">
        <v>132</v>
      </c>
      <c r="B50" s="484"/>
      <c r="C50" s="484"/>
      <c r="D50" s="484"/>
      <c r="E50" s="484"/>
      <c r="F50" s="485"/>
      <c r="G50" s="138">
        <f ca="1">IF(G49&gt;0, G48-G49, G48)</f>
        <v>0</v>
      </c>
    </row>
  </sheetData>
  <sheetProtection algorithmName="SHA-512" hashValue="EGxURipgXBjQHdZ+UHq5hDw/KupmcLI4pIBXkXf4vWkt4LhChniBznV/h9C/GPZYjbGXfzIv9+LOabp+wRR4yA==" saltValue="yDHJo66xswnXfJC8do5H+w==" spinCount="100000" sheet="1" objects="1" scenarios="1" selectLockedCells="1"/>
  <mergeCells count="52">
    <mergeCell ref="A1:G1"/>
    <mergeCell ref="B6:C6"/>
    <mergeCell ref="A22:C22"/>
    <mergeCell ref="D22:F22"/>
    <mergeCell ref="B7:C7"/>
    <mergeCell ref="B8:C8"/>
    <mergeCell ref="A11:C11"/>
    <mergeCell ref="C14:F14"/>
    <mergeCell ref="C15:F15"/>
    <mergeCell ref="C16:F16"/>
    <mergeCell ref="C17:F17"/>
    <mergeCell ref="A18:F18"/>
    <mergeCell ref="A19:F19"/>
    <mergeCell ref="A20:F20"/>
    <mergeCell ref="A21:F21"/>
    <mergeCell ref="A2:C3"/>
    <mergeCell ref="D2:F2"/>
    <mergeCell ref="G2:G3"/>
    <mergeCell ref="B4:C4"/>
    <mergeCell ref="B5:C5"/>
    <mergeCell ref="D23:F23"/>
    <mergeCell ref="A23:C23"/>
    <mergeCell ref="A24:C24"/>
    <mergeCell ref="D24:F24"/>
    <mergeCell ref="A46:F46"/>
    <mergeCell ref="A48:F48"/>
    <mergeCell ref="A26:C26"/>
    <mergeCell ref="D26:F26"/>
    <mergeCell ref="A30:F30"/>
    <mergeCell ref="A27:F27"/>
    <mergeCell ref="A28:F28"/>
    <mergeCell ref="A29:F29"/>
    <mergeCell ref="A38:F38"/>
    <mergeCell ref="A33:B33"/>
    <mergeCell ref="A31:F31"/>
    <mergeCell ref="A32:B32"/>
    <mergeCell ref="A49:F49"/>
    <mergeCell ref="A50:F50"/>
    <mergeCell ref="A25:C25"/>
    <mergeCell ref="D25:F25"/>
    <mergeCell ref="A45:F45"/>
    <mergeCell ref="A35:B35"/>
    <mergeCell ref="A36:B36"/>
    <mergeCell ref="A40:F40"/>
    <mergeCell ref="A41:F41"/>
    <mergeCell ref="A42:F42"/>
    <mergeCell ref="A43:F43"/>
    <mergeCell ref="A44:F44"/>
    <mergeCell ref="A39:F39"/>
    <mergeCell ref="A34:B34"/>
    <mergeCell ref="C36:F36"/>
    <mergeCell ref="A37:F37"/>
  </mergeCells>
  <phoneticPr fontId="9" type="noConversion"/>
  <pageMargins left="0.75" right="0.75" top="1" bottom="1" header="0.5" footer="0.5"/>
  <pageSetup scale="80" orientation="portrait" horizontalDpi="4294967292" verticalDpi="4294967292" r:id="rId1"/>
  <rowBreaks count="1" manualBreakCount="1">
    <brk id="50" max="16383" man="1"/>
  </rowBreaks>
  <colBreaks count="1" manualBreakCount="1">
    <brk id="7" max="1048575" man="1"/>
  </colBreaks>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G50"/>
  <sheetViews>
    <sheetView topLeftCell="A22" workbookViewId="0">
      <selection activeCell="G49" sqref="G49"/>
    </sheetView>
  </sheetViews>
  <sheetFormatPr defaultColWidth="11" defaultRowHeight="15.75" x14ac:dyDescent="0.25"/>
  <cols>
    <col min="1" max="1" width="5.875" customWidth="1"/>
    <col min="2" max="2" width="7" customWidth="1"/>
    <col min="3" max="3" width="43.625" customWidth="1"/>
    <col min="7" max="7" width="14.625" customWidth="1"/>
  </cols>
  <sheetData>
    <row r="1" spans="1:7" s="140" customFormat="1" ht="24.95" customHeight="1" x14ac:dyDescent="0.25">
      <c r="A1" s="490" t="s">
        <v>271</v>
      </c>
      <c r="B1" s="490"/>
      <c r="C1" s="490"/>
      <c r="D1" s="490"/>
      <c r="E1" s="490"/>
      <c r="F1" s="490"/>
      <c r="G1" s="490"/>
    </row>
    <row r="2" spans="1:7" x14ac:dyDescent="0.25">
      <c r="A2" s="505" t="s">
        <v>101</v>
      </c>
      <c r="B2" s="506"/>
      <c r="C2" s="507"/>
      <c r="D2" s="468" t="s">
        <v>88</v>
      </c>
      <c r="E2" s="468"/>
      <c r="F2" s="468"/>
      <c r="G2" s="486" t="s">
        <v>92</v>
      </c>
    </row>
    <row r="3" spans="1:7" x14ac:dyDescent="0.25">
      <c r="A3" s="508"/>
      <c r="B3" s="509"/>
      <c r="C3" s="510"/>
      <c r="D3" s="74" t="s">
        <v>89</v>
      </c>
      <c r="E3" s="74" t="s">
        <v>90</v>
      </c>
      <c r="F3" s="74" t="s">
        <v>91</v>
      </c>
      <c r="G3" s="487"/>
    </row>
    <row r="4" spans="1:7" x14ac:dyDescent="0.25">
      <c r="A4" s="18" t="s">
        <v>93</v>
      </c>
      <c r="B4" s="469" t="str">
        <f>IF(G4&gt;0,CONCATENATE((INDEX('Salary &amp; Fringe'!$A$1:$A$300,MATCH("Senior Person 1",'Salary &amp; Fringe'!$E$1:$E$300,FALSE),1))," ",(INDEX('Salary &amp; Fringe'!$B$1:$B$300,MATCH("Senior Person 1",'Salary &amp; Fringe'!$E$1:$E$300,FALSE),1))),"")</f>
        <v/>
      </c>
      <c r="C4" s="469"/>
      <c r="D4" s="70">
        <f>SUMIFS('Salary &amp; Fringe'!$T$1:'Salary &amp; Fringe'!$T$300,'Salary &amp; Fringe'!$E$1:'Salary &amp; Fringe'!$E$300,"Senior Person 1",'Salary &amp; Fringe'!$F$1:'Salary &amp; Fringe'!$F$300,"Calendar(12)")</f>
        <v>0</v>
      </c>
      <c r="E4" s="70">
        <f>SUMIFS('Salary &amp; Fringe'!$T$1:'Salary &amp; Fringe'!$T$300,'Salary &amp; Fringe'!$E$1:'Salary &amp; Fringe'!$E$300,"Senior Person 1",'Salary &amp; Fringe'!$F$1:'Salary &amp; Fringe'!$F$300,"Academic")</f>
        <v>0</v>
      </c>
      <c r="F4" s="70">
        <f>SUMIFS('Salary &amp; Fringe'!$T$1:'Salary &amp; Fringe'!$T$300,'Salary &amp; Fringe'!$E$1:'Salary &amp; Fringe'!$E$300,"Senior Person 1",'Salary &amp; Fringe'!$F$1:'Salary &amp; Fringe'!$F$300,"Summer")</f>
        <v>0</v>
      </c>
      <c r="G4" s="129">
        <f>SUMIF('Salary &amp; Fringe'!$E$1:$E$300,"Senior Person 1",'Salary &amp; Fringe'!$AD$1:$AD$300)</f>
        <v>0</v>
      </c>
    </row>
    <row r="5" spans="1:7" x14ac:dyDescent="0.25">
      <c r="A5" s="18" t="s">
        <v>94</v>
      </c>
      <c r="B5" s="469" t="str">
        <f>IF(G5&gt;0,CONCATENATE((INDEX('Salary &amp; Fringe'!$A$1:$A$300,MATCH("Senior Person 2",'Salary &amp; Fringe'!$E$1:$E$300,FALSE),1))," ",(INDEX('Salary &amp; Fringe'!$B$1:$B$300,MATCH("Senior Person 2",'Salary &amp; Fringe'!$E$1:$E$300,FALSE),1))),"")</f>
        <v/>
      </c>
      <c r="C5" s="469"/>
      <c r="D5" s="70">
        <f>SUMIFS('Salary &amp; Fringe'!$T$1:'Salary &amp; Fringe'!$T$300,'Salary &amp; Fringe'!$E$1:'Salary &amp; Fringe'!$E$300,"Senior Person 2",'Salary &amp; Fringe'!$F$1:'Salary &amp; Fringe'!$F$300,"Calendar(12)")</f>
        <v>0</v>
      </c>
      <c r="E5" s="70">
        <f>SUMIFS('Salary &amp; Fringe'!$T$1:'Salary &amp; Fringe'!$T$300,'Salary &amp; Fringe'!$E$1:'Salary &amp; Fringe'!$E$300,"Senior Person 2",'Salary &amp; Fringe'!$F$1:'Salary &amp; Fringe'!$F$300,"Academic")</f>
        <v>0</v>
      </c>
      <c r="F5" s="70">
        <f>SUMIFS('Salary &amp; Fringe'!$T$1:'Salary &amp; Fringe'!$T$300,'Salary &amp; Fringe'!$E$1:'Salary &amp; Fringe'!$E$300,"Senior Person 2",'Salary &amp; Fringe'!$F$1:'Salary &amp; Fringe'!$F$300,"Summer")</f>
        <v>0</v>
      </c>
      <c r="G5" s="129">
        <f>SUMIF('Salary &amp; Fringe'!$E$1:$E$300,"Senior Person 2",'Salary &amp; Fringe'!$AD$1:$AD$300)</f>
        <v>0</v>
      </c>
    </row>
    <row r="6" spans="1:7" x14ac:dyDescent="0.25">
      <c r="A6" s="18" t="s">
        <v>95</v>
      </c>
      <c r="B6" s="469" t="str">
        <f>IF(G6&gt;0,CONCATENATE((INDEX('Salary &amp; Fringe'!$A$1:$A$300,MATCH("Senior Person 3",'Salary &amp; Fringe'!$E$1:$E$300,FALSE),1))," ",(INDEX('Salary &amp; Fringe'!$B$1:$B$300,MATCH("Senior Person 3",'Salary &amp; Fringe'!$E$1:$E$300,FALSE),1))),"")</f>
        <v/>
      </c>
      <c r="C6" s="469"/>
      <c r="D6" s="70">
        <f>SUMIFS('Salary &amp; Fringe'!$T$1:'Salary &amp; Fringe'!$T$300,'Salary &amp; Fringe'!$E$1:'Salary &amp; Fringe'!$E$300,"Senior Person 3",'Salary &amp; Fringe'!$F$1:'Salary &amp; Fringe'!$F$300,"Calendar(12)")</f>
        <v>0</v>
      </c>
      <c r="E6" s="70">
        <f>SUMIFS('Salary &amp; Fringe'!$T$1:'Salary &amp; Fringe'!$T$300,'Salary &amp; Fringe'!$E$1:'Salary &amp; Fringe'!$E$300,"Senior Person 3",'Salary &amp; Fringe'!$F$1:'Salary &amp; Fringe'!$F$300,"Academic")</f>
        <v>0</v>
      </c>
      <c r="F6" s="70">
        <f>SUMIFS('Salary &amp; Fringe'!$T$1:'Salary &amp; Fringe'!$T$300,'Salary &amp; Fringe'!$E$1:'Salary &amp; Fringe'!$E$300,"Senior Person 3",'Salary &amp; Fringe'!$F$1:'Salary &amp; Fringe'!$F$300,"Summer")</f>
        <v>0</v>
      </c>
      <c r="G6" s="129">
        <f>SUMIF('Salary &amp; Fringe'!$E$1:$E$300,"Senior Person 3",'Salary &amp; Fringe'!$AD$1:$AD$300)</f>
        <v>0</v>
      </c>
    </row>
    <row r="7" spans="1:7" x14ac:dyDescent="0.25">
      <c r="A7" s="18" t="s">
        <v>96</v>
      </c>
      <c r="B7" s="469" t="str">
        <f>IF(G7&gt;0,CONCATENATE((INDEX('Salary &amp; Fringe'!$A$1:$A$300,MATCH("Senior Person 4",'Salary &amp; Fringe'!$E$1:$E$300,FALSE),1))," ",(INDEX('Salary &amp; Fringe'!$B$1:$B$300,MATCH("Senior Person 4",'Salary &amp; Fringe'!$E$1:$E$300,FALSE),1))),"")</f>
        <v/>
      </c>
      <c r="C7" s="469"/>
      <c r="D7" s="70">
        <f>SUMIFS('Salary &amp; Fringe'!$T$1:'Salary &amp; Fringe'!$T$300,'Salary &amp; Fringe'!$E$1:'Salary &amp; Fringe'!$E$300,"Senior Person 4",'Salary &amp; Fringe'!$F$1:'Salary &amp; Fringe'!$F$300,"Calendar(12)")</f>
        <v>0</v>
      </c>
      <c r="E7" s="70">
        <f>SUMIFS('Salary &amp; Fringe'!$T$1:'Salary &amp; Fringe'!$T$300,'Salary &amp; Fringe'!$E$1:'Salary &amp; Fringe'!$E$300,"Senior Person 4",'Salary &amp; Fringe'!$F$1:'Salary &amp; Fringe'!$F$300,"Academic")</f>
        <v>0</v>
      </c>
      <c r="F7" s="70">
        <f>SUMIFS('Salary &amp; Fringe'!$T$1:'Salary &amp; Fringe'!$T$300,'Salary &amp; Fringe'!$E$1:'Salary &amp; Fringe'!$E$300,"Senior Person 4",'Salary &amp; Fringe'!$F$1:'Salary &amp; Fringe'!$F$300,"Summer")</f>
        <v>0</v>
      </c>
      <c r="G7" s="129">
        <f>SUMIF('Salary &amp; Fringe'!$E$1:$E$300,"Senior Person 4",'Salary &amp; Fringe'!$AD$1:$AD$300)</f>
        <v>0</v>
      </c>
    </row>
    <row r="8" spans="1:7" x14ac:dyDescent="0.25">
      <c r="A8" s="18" t="s">
        <v>97</v>
      </c>
      <c r="B8" s="469" t="str">
        <f>IF(G8&gt;0,CONCATENATE((INDEX('Salary &amp; Fringe'!$A$1:$A$300,MATCH("Senior Person 5",'Salary &amp; Fringe'!$E$1:$E$300,FALSE),1))," ",(INDEX('Salary &amp; Fringe'!$B$1:$B$300,MATCH("Senior Person 5",'Salary &amp; Fringe'!$E$1:$E$300,FALSE),1))),"")</f>
        <v/>
      </c>
      <c r="C8" s="469"/>
      <c r="D8" s="70">
        <f>SUMIFS('Salary &amp; Fringe'!$T$1:'Salary &amp; Fringe'!$T$300,'Salary &amp; Fringe'!$E$1:'Salary &amp; Fringe'!$E$300,"Senior Person 5",'Salary &amp; Fringe'!$F$1:'Salary &amp; Fringe'!$F$300,"Calendar(12)")</f>
        <v>0</v>
      </c>
      <c r="E8" s="70">
        <f>SUMIFS('Salary &amp; Fringe'!$T$1:'Salary &amp; Fringe'!$T$300,'Salary &amp; Fringe'!$E$1:'Salary &amp; Fringe'!$E$300,"Senior Person 5",'Salary &amp; Fringe'!$F$1:'Salary &amp; Fringe'!$F$300,"Academic")</f>
        <v>0</v>
      </c>
      <c r="F8" s="70">
        <f>SUMIFS('Salary &amp; Fringe'!$T$1:'Salary &amp; Fringe'!$T$300,'Salary &amp; Fringe'!$E$1:'Salary &amp; Fringe'!$E$300,"Senior Person 5",'Salary &amp; Fringe'!$F$1:'Salary &amp; Fringe'!$F$300,"Summer")</f>
        <v>0</v>
      </c>
      <c r="G8" s="129">
        <f>SUMIF('Salary &amp; Fringe'!$E$1:$E$300,"Senior Person 5",'Salary &amp; Fringe'!$AD$1:$AD$300)</f>
        <v>0</v>
      </c>
    </row>
    <row r="9" spans="1:7" x14ac:dyDescent="0.25">
      <c r="A9" s="18" t="s">
        <v>98</v>
      </c>
      <c r="B9" s="72">
        <f>SUMIFS('Salary &amp; Fringe'!$I$1:$I$300,'Salary &amp; Fringe'!$E$1:$E$300,"Senior (Other)", 'Salary &amp; Fringe'!$T$1:'Salary &amp; Fringe'!$T$300, "&gt;0")</f>
        <v>0</v>
      </c>
      <c r="C9" s="19" t="s">
        <v>100</v>
      </c>
      <c r="D9" s="70">
        <f>SUMIFS('Salary &amp; Fringe'!$T$1:'Salary &amp; Fringe'!$T$300,'Salary &amp; Fringe'!$E$1:'Salary &amp; Fringe'!$E$300,"Senior (Other)",'Salary &amp; Fringe'!$F$1:'Salary &amp; Fringe'!$F$300,"Calendar(12)")</f>
        <v>0</v>
      </c>
      <c r="E9" s="70">
        <f>SUMIFS('Salary &amp; Fringe'!$T$1:'Salary &amp; Fringe'!$T$300,'Salary &amp; Fringe'!$E$1:'Salary &amp; Fringe'!$E$300,"Senior (Other)",'Salary &amp; Fringe'!$F$1:'Salary &amp; Fringe'!$F$300,"Academic")</f>
        <v>0</v>
      </c>
      <c r="F9" s="70">
        <f>SUMIFS('Salary &amp; Fringe'!$T$1:'Salary &amp; Fringe'!$T$300,'Salary &amp; Fringe'!$E$1:'Salary &amp; Fringe'!$E$300,"Senior (Other)",'Salary &amp; Fringe'!$F$1:'Salary &amp; Fringe'!$F$300,"Summer")</f>
        <v>0</v>
      </c>
      <c r="G9" s="129">
        <f>SUMIF('Salary &amp; Fringe'!$E$1:$E$300,"Senior (Other)",'Salary &amp; Fringe'!$AD$1:$AD$300)</f>
        <v>0</v>
      </c>
    </row>
    <row r="10" spans="1:7" x14ac:dyDescent="0.25">
      <c r="A10" s="18" t="s">
        <v>99</v>
      </c>
      <c r="B10" s="76">
        <f>(COUNTIF(G4:G8,"&gt;0")+B9)</f>
        <v>0</v>
      </c>
      <c r="C10" s="19" t="s">
        <v>128</v>
      </c>
      <c r="D10" s="74">
        <f>SUM(D4:D9)</f>
        <v>0</v>
      </c>
      <c r="E10" s="74">
        <f>SUM(E4:E9)</f>
        <v>0</v>
      </c>
      <c r="F10" s="74">
        <f>SUM(F4:F9)</f>
        <v>0</v>
      </c>
      <c r="G10" s="130">
        <f>SUM(G4:G9)</f>
        <v>0</v>
      </c>
    </row>
    <row r="11" spans="1:7" x14ac:dyDescent="0.25">
      <c r="A11" s="470" t="s">
        <v>102</v>
      </c>
      <c r="B11" s="471"/>
      <c r="C11" s="472"/>
      <c r="D11" s="11"/>
      <c r="E11" s="11"/>
      <c r="F11" s="11"/>
      <c r="G11" s="131"/>
    </row>
    <row r="12" spans="1:7" x14ac:dyDescent="0.25">
      <c r="A12" s="18" t="s">
        <v>93</v>
      </c>
      <c r="B12" s="72">
        <f>SUMIFS('Salary &amp; Fringe'!$I$1:$I$300,'Salary &amp; Fringe'!$E$1:$E$300,"Postdoc", 'Salary &amp; Fringe'!$T$1:'Salary &amp; Fringe'!$T$300, "&gt;0")</f>
        <v>0</v>
      </c>
      <c r="C12" s="73" t="s">
        <v>103</v>
      </c>
      <c r="D12" s="71">
        <f>SUMIF('Salary &amp; Fringe'!$E$1:$E$300,"Postdoc",'Salary &amp; Fringe'!$T$1:$T$300)</f>
        <v>0</v>
      </c>
      <c r="E12" s="70">
        <v>0</v>
      </c>
      <c r="F12" s="70">
        <v>0</v>
      </c>
      <c r="G12" s="129">
        <f>SUMIF('Salary &amp; Fringe'!$E$1:$E$300,"Postdoc",'Salary &amp; Fringe'!$AD$1:$AD$300)</f>
        <v>0</v>
      </c>
    </row>
    <row r="13" spans="1:7" x14ac:dyDescent="0.25">
      <c r="A13" s="18" t="s">
        <v>94</v>
      </c>
      <c r="B13" s="72">
        <f>SUMIFS('Salary &amp; Fringe'!$I$1:$I$300,'Salary &amp; Fringe'!$E$1:$E$300,"Professional (Other)", 'Salary &amp; Fringe'!$T$1:'Salary &amp; Fringe'!$T$300, "&gt;0")</f>
        <v>0</v>
      </c>
      <c r="C13" s="73" t="s">
        <v>104</v>
      </c>
      <c r="D13" s="71">
        <f>SUMIF('Salary &amp; Fringe'!$E$1:$E$300,"Professional (Other)",'Salary &amp; Fringe'!$T$1:$T$300)</f>
        <v>0</v>
      </c>
      <c r="E13" s="70">
        <v>0</v>
      </c>
      <c r="F13" s="70">
        <v>0</v>
      </c>
      <c r="G13" s="129">
        <f>SUMIF('Salary &amp; Fringe'!$E$1:$E$300,"Professional (Other)",'Salary &amp; Fringe'!$AD$1:$AD$300)</f>
        <v>0</v>
      </c>
    </row>
    <row r="14" spans="1:7" x14ac:dyDescent="0.25">
      <c r="A14" s="18" t="s">
        <v>95</v>
      </c>
      <c r="B14" s="139"/>
      <c r="C14" s="473" t="s">
        <v>105</v>
      </c>
      <c r="D14" s="473"/>
      <c r="E14" s="473"/>
      <c r="F14" s="473"/>
      <c r="G14" s="129">
        <f>SUMIF('Salary &amp; Fringe'!$E$1:$E$300,"Grad",'Salary &amp; Fringe'!$AD$1:$AD$300)</f>
        <v>0</v>
      </c>
    </row>
    <row r="15" spans="1:7" x14ac:dyDescent="0.25">
      <c r="A15" s="18" t="s">
        <v>96</v>
      </c>
      <c r="B15" s="233"/>
      <c r="C15" s="474" t="s">
        <v>106</v>
      </c>
      <c r="D15" s="474"/>
      <c r="E15" s="474"/>
      <c r="F15" s="474"/>
      <c r="G15" s="129">
        <f>SUMIF('Salary &amp; Fringe'!$E$1:$E$300,"Undergrad",'Salary &amp; Fringe'!$AD$1:$AD$300)</f>
        <v>0</v>
      </c>
    </row>
    <row r="16" spans="1:7" x14ac:dyDescent="0.25">
      <c r="A16" s="18" t="s">
        <v>97</v>
      </c>
      <c r="B16" s="72">
        <f>SUMIFS('Salary &amp; Fringe'!$I$1:$I$300,'Salary &amp; Fringe'!$E$1:$E$300,"Clerical", 'Salary &amp; Fringe'!$T$1:'Salary &amp; Fringe'!$T$300, "&gt;0")</f>
        <v>0</v>
      </c>
      <c r="C16" s="473" t="s">
        <v>107</v>
      </c>
      <c r="D16" s="473"/>
      <c r="E16" s="473"/>
      <c r="F16" s="473"/>
      <c r="G16" s="129">
        <f>SUMIF('Salary &amp; Fringe'!$E$1:$E$300,"Clerical",'Salary &amp; Fringe'!$AD$1:$AD$300)</f>
        <v>0</v>
      </c>
    </row>
    <row r="17" spans="1:7" x14ac:dyDescent="0.25">
      <c r="A17" s="18" t="s">
        <v>98</v>
      </c>
      <c r="B17" s="72">
        <f>SUMIFS('Salary &amp; Fringe'!$I$1:$I$300,'Salary &amp; Fringe'!$E$1:$E$300,"Other*", 'Salary &amp; Fringe'!$T$1:'Salary &amp; Fringe'!$T$300, "&gt;0")</f>
        <v>0</v>
      </c>
      <c r="C17" s="474" t="s">
        <v>53</v>
      </c>
      <c r="D17" s="474"/>
      <c r="E17" s="474"/>
      <c r="F17" s="474"/>
      <c r="G17" s="129">
        <f>SUMIF('Salary &amp; Fringe'!$E$1:$E$300,"Other*",'Salary &amp; Fringe'!$AD$1:$AD$300)</f>
        <v>0</v>
      </c>
    </row>
    <row r="18" spans="1:7" x14ac:dyDescent="0.25">
      <c r="A18" s="475" t="s">
        <v>108</v>
      </c>
      <c r="B18" s="476"/>
      <c r="C18" s="476"/>
      <c r="D18" s="476"/>
      <c r="E18" s="476"/>
      <c r="F18" s="477"/>
      <c r="G18" s="130">
        <f>SUM(G10,G12:G17)</f>
        <v>0</v>
      </c>
    </row>
    <row r="19" spans="1:7" x14ac:dyDescent="0.25">
      <c r="A19" s="470" t="s">
        <v>109</v>
      </c>
      <c r="B19" s="471"/>
      <c r="C19" s="471"/>
      <c r="D19" s="471"/>
      <c r="E19" s="471"/>
      <c r="F19" s="472"/>
      <c r="G19" s="130">
        <f ca="1">TotalFringe8</f>
        <v>0</v>
      </c>
    </row>
    <row r="20" spans="1:7" x14ac:dyDescent="0.25">
      <c r="A20" s="475" t="s">
        <v>110</v>
      </c>
      <c r="B20" s="476"/>
      <c r="C20" s="476"/>
      <c r="D20" s="476"/>
      <c r="E20" s="476"/>
      <c r="F20" s="477"/>
      <c r="G20" s="130">
        <f ca="1">G18+G19</f>
        <v>0</v>
      </c>
    </row>
    <row r="21" spans="1:7" x14ac:dyDescent="0.25">
      <c r="A21" s="478" t="s">
        <v>111</v>
      </c>
      <c r="B21" s="479"/>
      <c r="C21" s="479"/>
      <c r="D21" s="479"/>
      <c r="E21" s="479"/>
      <c r="F21" s="480"/>
      <c r="G21" s="130"/>
    </row>
    <row r="22" spans="1:7" x14ac:dyDescent="0.25">
      <c r="A22" s="481" t="str">
        <f>IF(ISBLANK(Budget!T47),"",Budget!A47)</f>
        <v/>
      </c>
      <c r="B22" s="481"/>
      <c r="C22" s="481"/>
      <c r="D22" s="482" t="str">
        <f>IF(Budget!T47&gt;0,Budget!T47,"")</f>
        <v/>
      </c>
      <c r="E22" s="482"/>
      <c r="F22" s="482"/>
      <c r="G22" s="132"/>
    </row>
    <row r="23" spans="1:7" x14ac:dyDescent="0.25">
      <c r="A23" s="481" t="str">
        <f>IF(ISBLANK(Budget!T48),"",Budget!A48)</f>
        <v/>
      </c>
      <c r="B23" s="481"/>
      <c r="C23" s="481"/>
      <c r="D23" s="482" t="str">
        <f>IF(Budget!T48&gt;0,Budget!T48,"")</f>
        <v/>
      </c>
      <c r="E23" s="482"/>
      <c r="F23" s="482"/>
      <c r="G23" s="133"/>
    </row>
    <row r="24" spans="1:7" x14ac:dyDescent="0.25">
      <c r="A24" s="481" t="str">
        <f>IF(ISBLANK(Budget!T49),"",Budget!A49)</f>
        <v/>
      </c>
      <c r="B24" s="481"/>
      <c r="C24" s="481"/>
      <c r="D24" s="482" t="str">
        <f>IF(Budget!T49&gt;0,Budget!T49,"")</f>
        <v/>
      </c>
      <c r="E24" s="482"/>
      <c r="F24" s="482"/>
      <c r="G24" s="133"/>
    </row>
    <row r="25" spans="1:7" x14ac:dyDescent="0.25">
      <c r="A25" s="481" t="str">
        <f>IF(ISBLANK(Budget!T50),"",Budget!A50)</f>
        <v/>
      </c>
      <c r="B25" s="481"/>
      <c r="C25" s="481"/>
      <c r="D25" s="482" t="str">
        <f>IF(Budget!T50&gt;0,Budget!T50,"")</f>
        <v/>
      </c>
      <c r="E25" s="482"/>
      <c r="F25" s="482"/>
      <c r="G25" s="133"/>
    </row>
    <row r="26" spans="1:7" x14ac:dyDescent="0.25">
      <c r="A26" s="481" t="str">
        <f>IF(ISBLANK(Budget!T51),"",Budget!A51)</f>
        <v/>
      </c>
      <c r="B26" s="481"/>
      <c r="C26" s="481"/>
      <c r="D26" s="482" t="str">
        <f>IF(Budget!T51&gt;0,Budget!T51,"")</f>
        <v/>
      </c>
      <c r="E26" s="482"/>
      <c r="F26" s="482"/>
      <c r="G26" s="133"/>
    </row>
    <row r="27" spans="1:7" x14ac:dyDescent="0.25">
      <c r="A27" s="475" t="s">
        <v>58</v>
      </c>
      <c r="B27" s="476"/>
      <c r="C27" s="476"/>
      <c r="D27" s="476"/>
      <c r="E27" s="476"/>
      <c r="F27" s="477"/>
      <c r="G27" s="130">
        <f>Budget!T52</f>
        <v>0</v>
      </c>
    </row>
    <row r="28" spans="1:7" x14ac:dyDescent="0.25">
      <c r="A28" s="489" t="s">
        <v>112</v>
      </c>
      <c r="B28" s="489"/>
      <c r="C28" s="489"/>
      <c r="D28" s="489"/>
      <c r="E28" s="489"/>
      <c r="F28" s="489"/>
      <c r="G28" s="134"/>
    </row>
    <row r="29" spans="1:7" x14ac:dyDescent="0.25">
      <c r="A29" s="481" t="s">
        <v>203</v>
      </c>
      <c r="B29" s="481"/>
      <c r="C29" s="481"/>
      <c r="D29" s="481"/>
      <c r="E29" s="481"/>
      <c r="F29" s="481"/>
      <c r="G29" s="130">
        <f>Budget!T39</f>
        <v>0</v>
      </c>
    </row>
    <row r="30" spans="1:7" x14ac:dyDescent="0.25">
      <c r="A30" s="488" t="s">
        <v>113</v>
      </c>
      <c r="B30" s="488"/>
      <c r="C30" s="488"/>
      <c r="D30" s="488"/>
      <c r="E30" s="488"/>
      <c r="F30" s="488"/>
      <c r="G30" s="130">
        <f>Budget!T44</f>
        <v>0</v>
      </c>
    </row>
    <row r="31" spans="1:7" x14ac:dyDescent="0.25">
      <c r="A31" s="478" t="s">
        <v>114</v>
      </c>
      <c r="B31" s="479"/>
      <c r="C31" s="479"/>
      <c r="D31" s="498"/>
      <c r="E31" s="498"/>
      <c r="F31" s="499"/>
      <c r="G31" s="135"/>
    </row>
    <row r="32" spans="1:7" x14ac:dyDescent="0.25">
      <c r="A32" s="474" t="s">
        <v>115</v>
      </c>
      <c r="B32" s="474"/>
      <c r="C32" s="44">
        <f>SUMIF(Budget!$A$2:$A$504,"PS Stipends",Budget!$T$2:$T$504)</f>
        <v>0</v>
      </c>
      <c r="D32" s="20"/>
      <c r="E32" s="21"/>
      <c r="F32" s="21"/>
      <c r="G32" s="136"/>
    </row>
    <row r="33" spans="1:7" x14ac:dyDescent="0.25">
      <c r="A33" s="474" t="s">
        <v>116</v>
      </c>
      <c r="B33" s="474"/>
      <c r="C33" s="44">
        <f>SUMIF(Budget!$A$2:$A$504,"PS Travel",Budget!$T$2:$T$504)</f>
        <v>0</v>
      </c>
      <c r="D33" s="22"/>
      <c r="E33" s="23"/>
      <c r="F33" s="23"/>
      <c r="G33" s="136"/>
    </row>
    <row r="34" spans="1:7" x14ac:dyDescent="0.25">
      <c r="A34" s="474" t="s">
        <v>117</v>
      </c>
      <c r="B34" s="474"/>
      <c r="C34" s="44">
        <f>SUMIF(Budget!$A$2:$A$504,"PS Subsistence",Budget!$T$2:$T$504)</f>
        <v>0</v>
      </c>
      <c r="D34" s="22"/>
      <c r="E34" s="23"/>
      <c r="F34" s="23"/>
      <c r="G34" s="136"/>
    </row>
    <row r="35" spans="1:7" x14ac:dyDescent="0.25">
      <c r="A35" s="474" t="s">
        <v>118</v>
      </c>
      <c r="B35" s="474"/>
      <c r="C35" s="44">
        <f>SUMIF(Budget!$A$2:$A$504,"PS Other",Budget!$T$2:$T$504)</f>
        <v>0</v>
      </c>
      <c r="D35" s="12"/>
      <c r="E35" s="13"/>
      <c r="F35" s="13"/>
      <c r="G35" s="137"/>
    </row>
    <row r="36" spans="1:7" x14ac:dyDescent="0.25">
      <c r="A36" s="503"/>
      <c r="B36" s="504"/>
      <c r="C36" s="500" t="s">
        <v>59</v>
      </c>
      <c r="D36" s="501"/>
      <c r="E36" s="501"/>
      <c r="F36" s="502"/>
      <c r="G36" s="130">
        <f>Budget!T57</f>
        <v>0</v>
      </c>
    </row>
    <row r="37" spans="1:7" x14ac:dyDescent="0.25">
      <c r="A37" s="489" t="s">
        <v>119</v>
      </c>
      <c r="B37" s="489"/>
      <c r="C37" s="489"/>
      <c r="D37" s="489"/>
      <c r="E37" s="489"/>
      <c r="F37" s="489"/>
      <c r="G37" s="134"/>
    </row>
    <row r="38" spans="1:7" x14ac:dyDescent="0.25">
      <c r="A38" s="474" t="s">
        <v>120</v>
      </c>
      <c r="B38" s="474"/>
      <c r="C38" s="474"/>
      <c r="D38" s="474"/>
      <c r="E38" s="474"/>
      <c r="F38" s="474"/>
      <c r="G38" s="138">
        <f>SUMIF(Budget!$A$2:$A$504,"Materials &amp; Supplies",Budget!$T$2:$T$504)</f>
        <v>0</v>
      </c>
    </row>
    <row r="39" spans="1:7" x14ac:dyDescent="0.25">
      <c r="A39" s="474" t="s">
        <v>121</v>
      </c>
      <c r="B39" s="474"/>
      <c r="C39" s="474"/>
      <c r="D39" s="474"/>
      <c r="E39" s="474"/>
      <c r="F39" s="474"/>
      <c r="G39" s="138">
        <f>SUMIF(Budget!$A$2:$A$504,"Publication Costs/Page Charges",Budget!$T$2:$T$504)</f>
        <v>0</v>
      </c>
    </row>
    <row r="40" spans="1:7" x14ac:dyDescent="0.25">
      <c r="A40" s="474" t="s">
        <v>122</v>
      </c>
      <c r="B40" s="474"/>
      <c r="C40" s="474"/>
      <c r="D40" s="474"/>
      <c r="E40" s="474"/>
      <c r="F40" s="474"/>
      <c r="G40" s="138">
        <f>SUMIF(Budget!$A$2:$A$504,"Consultant Services",Budget!$T$2:$T$504)</f>
        <v>0</v>
      </c>
    </row>
    <row r="41" spans="1:7" x14ac:dyDescent="0.25">
      <c r="A41" s="474" t="s">
        <v>123</v>
      </c>
      <c r="B41" s="474"/>
      <c r="C41" s="474"/>
      <c r="D41" s="474"/>
      <c r="E41" s="474"/>
      <c r="F41" s="474"/>
      <c r="G41" s="138">
        <f>SUMIF(Budget!$A$2:$A$504,"Computer (ADPE) Services",Budget!$T$2:$T$504)</f>
        <v>0</v>
      </c>
    </row>
    <row r="42" spans="1:7" x14ac:dyDescent="0.25">
      <c r="A42" s="474" t="s">
        <v>124</v>
      </c>
      <c r="B42" s="474"/>
      <c r="C42" s="474"/>
      <c r="D42" s="474"/>
      <c r="E42" s="474"/>
      <c r="F42" s="474"/>
      <c r="G42" s="138">
        <f ca="1">TotalSubs8+TotalMulti8</f>
        <v>0</v>
      </c>
    </row>
    <row r="43" spans="1:7" x14ac:dyDescent="0.25">
      <c r="A43" s="474" t="s">
        <v>125</v>
      </c>
      <c r="B43" s="474"/>
      <c r="C43" s="474"/>
      <c r="D43" s="474"/>
      <c r="E43" s="474"/>
      <c r="F43" s="474"/>
      <c r="G43" s="138">
        <f>SUMIF(Budget!$A$2:$A$504,"Vendor Contract",Budget!$T$2:$T$504)+SUMIF(Budget!$A$2:$A$504,"Service Agreement",Budget!$T$2:$T$504)+SUMIF(Budget!$A$2:$A$504,"Space Rentals",Budget!$T$2:$T$504)+SUMIF(Budget!$A$2:$A$504,"Other*",Budget!$T$2:$T$504)+SUMIF(Budget!$A$2:$A$504,"Equipment or Facility*",Budget!$T$2:$T$504)+TotalGSR8</f>
        <v>0</v>
      </c>
    </row>
    <row r="44" spans="1:7" x14ac:dyDescent="0.25">
      <c r="A44" s="497" t="s">
        <v>127</v>
      </c>
      <c r="B44" s="497"/>
      <c r="C44" s="497"/>
      <c r="D44" s="497"/>
      <c r="E44" s="497"/>
      <c r="F44" s="497"/>
      <c r="G44" s="130">
        <f ca="1">SUM(G38:G43)</f>
        <v>0</v>
      </c>
    </row>
    <row r="45" spans="1:7" x14ac:dyDescent="0.25">
      <c r="A45" s="489" t="s">
        <v>126</v>
      </c>
      <c r="B45" s="489"/>
      <c r="C45" s="489"/>
      <c r="D45" s="489"/>
      <c r="E45" s="489"/>
      <c r="F45" s="489"/>
      <c r="G45" s="130">
        <f ca="1">SUM(G20+G27+G29+G30+G36+G44)</f>
        <v>0</v>
      </c>
    </row>
    <row r="46" spans="1:7" x14ac:dyDescent="0.25">
      <c r="A46" s="491" t="s">
        <v>129</v>
      </c>
      <c r="B46" s="492"/>
      <c r="C46" s="492"/>
      <c r="D46" s="492"/>
      <c r="E46" s="492"/>
      <c r="F46" s="493"/>
      <c r="G46" s="134"/>
    </row>
    <row r="47" spans="1:7" x14ac:dyDescent="0.25">
      <c r="C47" s="57" t="str">
        <f>Budget!T105</f>
        <v xml:space="preserve"> </v>
      </c>
      <c r="D47" s="75" t="s">
        <v>130</v>
      </c>
      <c r="E47" s="45">
        <f ca="1">Budget!T101</f>
        <v>0</v>
      </c>
      <c r="F47" t="s">
        <v>55</v>
      </c>
      <c r="G47" s="130">
        <f ca="1">Budget!T109</f>
        <v>0</v>
      </c>
    </row>
    <row r="48" spans="1:7" x14ac:dyDescent="0.25">
      <c r="A48" s="478" t="s">
        <v>131</v>
      </c>
      <c r="B48" s="479"/>
      <c r="C48" s="479"/>
      <c r="D48" s="479"/>
      <c r="E48" s="479"/>
      <c r="F48" s="480"/>
      <c r="G48" s="130">
        <f ca="1">G45+G47</f>
        <v>0</v>
      </c>
    </row>
    <row r="49" spans="1:7" x14ac:dyDescent="0.25">
      <c r="A49" s="494" t="s">
        <v>213</v>
      </c>
      <c r="B49" s="495"/>
      <c r="C49" s="495"/>
      <c r="D49" s="495"/>
      <c r="E49" s="495"/>
      <c r="F49" s="496"/>
      <c r="G49" s="141"/>
    </row>
    <row r="50" spans="1:7" x14ac:dyDescent="0.25">
      <c r="A50" s="483" t="s">
        <v>132</v>
      </c>
      <c r="B50" s="484"/>
      <c r="C50" s="484"/>
      <c r="D50" s="484"/>
      <c r="E50" s="484"/>
      <c r="F50" s="485"/>
      <c r="G50" s="138">
        <f ca="1">IF(G49&gt;0, G48-G49, G48)</f>
        <v>0</v>
      </c>
    </row>
  </sheetData>
  <sheetProtection algorithmName="SHA-512" hashValue="ymBGZHbhcZnT/JwBa53FSmkhcc5yg007pvRYwJmtV0A2H0uJZ0sg43Zjd3zsiP0NDLE/c9Q8q3RpQ1ak0IHIXQ==" saltValue="Ht8mYr1zafLPV1L629BZ4A==" spinCount="100000" sheet="1" objects="1" scenarios="1" selectLockedCells="1"/>
  <mergeCells count="52">
    <mergeCell ref="A1:G1"/>
    <mergeCell ref="B6:C6"/>
    <mergeCell ref="A22:C22"/>
    <mergeCell ref="D22:F22"/>
    <mergeCell ref="B7:C7"/>
    <mergeCell ref="B8:C8"/>
    <mergeCell ref="A11:C11"/>
    <mergeCell ref="C14:F14"/>
    <mergeCell ref="C15:F15"/>
    <mergeCell ref="C16:F16"/>
    <mergeCell ref="C17:F17"/>
    <mergeCell ref="A18:F18"/>
    <mergeCell ref="A19:F19"/>
    <mergeCell ref="A20:F20"/>
    <mergeCell ref="A21:F21"/>
    <mergeCell ref="A2:C3"/>
    <mergeCell ref="D2:F2"/>
    <mergeCell ref="G2:G3"/>
    <mergeCell ref="B4:C4"/>
    <mergeCell ref="B5:C5"/>
    <mergeCell ref="D23:F23"/>
    <mergeCell ref="A23:C23"/>
    <mergeCell ref="A24:C24"/>
    <mergeCell ref="D24:F24"/>
    <mergeCell ref="A46:F46"/>
    <mergeCell ref="A48:F48"/>
    <mergeCell ref="A26:C26"/>
    <mergeCell ref="D26:F26"/>
    <mergeCell ref="A30:F30"/>
    <mergeCell ref="A27:F27"/>
    <mergeCell ref="A28:F28"/>
    <mergeCell ref="A29:F29"/>
    <mergeCell ref="A38:F38"/>
    <mergeCell ref="A33:B33"/>
    <mergeCell ref="A31:F31"/>
    <mergeCell ref="A32:B32"/>
    <mergeCell ref="A49:F49"/>
    <mergeCell ref="A50:F50"/>
    <mergeCell ref="A25:C25"/>
    <mergeCell ref="D25:F25"/>
    <mergeCell ref="A45:F45"/>
    <mergeCell ref="A35:B35"/>
    <mergeCell ref="A36:B36"/>
    <mergeCell ref="A40:F40"/>
    <mergeCell ref="A41:F41"/>
    <mergeCell ref="A42:F42"/>
    <mergeCell ref="A43:F43"/>
    <mergeCell ref="A44:F44"/>
    <mergeCell ref="A39:F39"/>
    <mergeCell ref="A34:B34"/>
    <mergeCell ref="C36:F36"/>
    <mergeCell ref="A37:F37"/>
  </mergeCells>
  <phoneticPr fontId="9" type="noConversion"/>
  <pageMargins left="0.75" right="0.75" top="1" bottom="1" header="0.5" footer="0.5"/>
  <pageSetup scale="80" orientation="portrait" horizontalDpi="4294967292" verticalDpi="4294967292" r:id="rId1"/>
  <rowBreaks count="1" manualBreakCount="1">
    <brk id="50" max="16383" man="1"/>
  </rowBreaks>
  <colBreaks count="1" manualBreakCount="1">
    <brk id="7" max="1048575" man="1"/>
  </colBreaks>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G50"/>
  <sheetViews>
    <sheetView topLeftCell="A23" workbookViewId="0">
      <selection activeCell="G49" sqref="G49"/>
    </sheetView>
  </sheetViews>
  <sheetFormatPr defaultColWidth="11" defaultRowHeight="15.75" x14ac:dyDescent="0.25"/>
  <cols>
    <col min="1" max="1" width="5.875" customWidth="1"/>
    <col min="2" max="2" width="7" customWidth="1"/>
    <col min="3" max="3" width="43.625" customWidth="1"/>
    <col min="7" max="7" width="14.625" customWidth="1"/>
  </cols>
  <sheetData>
    <row r="1" spans="1:7" s="140" customFormat="1" ht="24.95" customHeight="1" x14ac:dyDescent="0.25">
      <c r="A1" s="490" t="s">
        <v>270</v>
      </c>
      <c r="B1" s="490"/>
      <c r="C1" s="490"/>
      <c r="D1" s="490"/>
      <c r="E1" s="490"/>
      <c r="F1" s="490"/>
      <c r="G1" s="490"/>
    </row>
    <row r="2" spans="1:7" x14ac:dyDescent="0.25">
      <c r="A2" s="505" t="s">
        <v>101</v>
      </c>
      <c r="B2" s="506"/>
      <c r="C2" s="507"/>
      <c r="D2" s="468" t="s">
        <v>88</v>
      </c>
      <c r="E2" s="468"/>
      <c r="F2" s="468"/>
      <c r="G2" s="486" t="s">
        <v>92</v>
      </c>
    </row>
    <row r="3" spans="1:7" x14ac:dyDescent="0.25">
      <c r="A3" s="508"/>
      <c r="B3" s="509"/>
      <c r="C3" s="510"/>
      <c r="D3" s="74" t="s">
        <v>89</v>
      </c>
      <c r="E3" s="74" t="s">
        <v>90</v>
      </c>
      <c r="F3" s="74" t="s">
        <v>91</v>
      </c>
      <c r="G3" s="487"/>
    </row>
    <row r="4" spans="1:7" x14ac:dyDescent="0.25">
      <c r="A4" s="18" t="s">
        <v>93</v>
      </c>
      <c r="B4" s="469" t="str">
        <f>IF(G4&gt;0,CONCATENATE((INDEX('Salary &amp; Fringe'!$A$1:$A$300,MATCH("Senior Person 1",'Salary &amp; Fringe'!$E$1:$E$300,FALSE),1))," ",(INDEX('Salary &amp; Fringe'!$B$1:$B$300,MATCH("Senior Person 1",'Salary &amp; Fringe'!$E$1:$E$300,FALSE),1))),"")</f>
        <v/>
      </c>
      <c r="C4" s="469"/>
      <c r="D4" s="70">
        <f>SUMIFS('Salary &amp; Fringe'!$U$1:'Salary &amp; Fringe'!$U$300,'Salary &amp; Fringe'!$E$1:'Salary &amp; Fringe'!$E$300,"Senior Person 1",'Salary &amp; Fringe'!$F$1:'Salary &amp; Fringe'!$F$300,"Calendar(12)")</f>
        <v>0</v>
      </c>
      <c r="E4" s="70">
        <f>SUMIFS('Salary &amp; Fringe'!$U$1:'Salary &amp; Fringe'!$U$300,'Salary &amp; Fringe'!$E$1:'Salary &amp; Fringe'!$E$300,"Senior Person 1",'Salary &amp; Fringe'!$F$1:'Salary &amp; Fringe'!$F$300,"Academic")</f>
        <v>0</v>
      </c>
      <c r="F4" s="70">
        <f>SUMIFS('Salary &amp; Fringe'!$U$1:'Salary &amp; Fringe'!$U$300,'Salary &amp; Fringe'!$E$1:'Salary &amp; Fringe'!$E$300,"Senior Person 1",'Salary &amp; Fringe'!$F$1:'Salary &amp; Fringe'!$F$300,"Summer")</f>
        <v>0</v>
      </c>
      <c r="G4" s="129">
        <f>SUMIF('Salary &amp; Fringe'!$E$1:$E$300,"Senior Person 1",'Salary &amp; Fringe'!$AE$1:$AE$300)</f>
        <v>0</v>
      </c>
    </row>
    <row r="5" spans="1:7" x14ac:dyDescent="0.25">
      <c r="A5" s="18" t="s">
        <v>94</v>
      </c>
      <c r="B5" s="469" t="str">
        <f>IF(G5&gt;0,CONCATENATE((INDEX('Salary &amp; Fringe'!$A$1:$A$300,MATCH("Senior Person 2",'Salary &amp; Fringe'!$E$1:$E$300,FALSE),1))," ",(INDEX('Salary &amp; Fringe'!$B$1:$B$300,MATCH("Senior Person 2",'Salary &amp; Fringe'!$E$1:$E$300,FALSE),1))),"")</f>
        <v/>
      </c>
      <c r="C5" s="469"/>
      <c r="D5" s="70">
        <f>SUMIFS('Salary &amp; Fringe'!$U$1:'Salary &amp; Fringe'!$U$300,'Salary &amp; Fringe'!$E$1:'Salary &amp; Fringe'!$E$300,"Senior Person 2",'Salary &amp; Fringe'!$F$1:'Salary &amp; Fringe'!$F$300,"Calendar(12)")</f>
        <v>0</v>
      </c>
      <c r="E5" s="70">
        <f>SUMIFS('Salary &amp; Fringe'!$U$1:'Salary &amp; Fringe'!$U$300,'Salary &amp; Fringe'!$E$1:'Salary &amp; Fringe'!$E$300,"Senior Person 2",'Salary &amp; Fringe'!$F$1:'Salary &amp; Fringe'!$F$300,"Academic")</f>
        <v>0</v>
      </c>
      <c r="F5" s="70">
        <f>SUMIFS('Salary &amp; Fringe'!$U$1:'Salary &amp; Fringe'!$U$300,'Salary &amp; Fringe'!$E$1:'Salary &amp; Fringe'!$E$300,"Senior Person 2",'Salary &amp; Fringe'!$F$1:'Salary &amp; Fringe'!$F$300,"Summer")</f>
        <v>0</v>
      </c>
      <c r="G5" s="129">
        <f>SUMIF('Salary &amp; Fringe'!$E$1:$E$300,"Senior Person 2",'Salary &amp; Fringe'!$AE$1:$AE$300)</f>
        <v>0</v>
      </c>
    </row>
    <row r="6" spans="1:7" x14ac:dyDescent="0.25">
      <c r="A6" s="18" t="s">
        <v>95</v>
      </c>
      <c r="B6" s="469" t="str">
        <f>IF(G6&gt;0,CONCATENATE((INDEX('Salary &amp; Fringe'!$A$1:$A$300,MATCH("Senior Person 3",'Salary &amp; Fringe'!$E$1:$E$300,FALSE),1))," ",(INDEX('Salary &amp; Fringe'!$B$1:$B$300,MATCH("Senior Person 3",'Salary &amp; Fringe'!$E$1:$E$300,FALSE),1))),"")</f>
        <v/>
      </c>
      <c r="C6" s="469"/>
      <c r="D6" s="70">
        <f>SUMIFS('Salary &amp; Fringe'!$U$1:'Salary &amp; Fringe'!$U$300,'Salary &amp; Fringe'!$E$1:'Salary &amp; Fringe'!$E$300,"Senior Person 3",'Salary &amp; Fringe'!$F$1:'Salary &amp; Fringe'!$F$300,"Calendar(12)")</f>
        <v>0</v>
      </c>
      <c r="E6" s="70">
        <f>SUMIFS('Salary &amp; Fringe'!$U$1:'Salary &amp; Fringe'!$U$300,'Salary &amp; Fringe'!$E$1:'Salary &amp; Fringe'!$E$300,"Senior Person 3",'Salary &amp; Fringe'!$F$1:'Salary &amp; Fringe'!$F$300,"Academic")</f>
        <v>0</v>
      </c>
      <c r="F6" s="70">
        <f>SUMIFS('Salary &amp; Fringe'!$U$1:'Salary &amp; Fringe'!$U$300,'Salary &amp; Fringe'!$E$1:'Salary &amp; Fringe'!$E$300,"Senior Person 3",'Salary &amp; Fringe'!$F$1:'Salary &amp; Fringe'!$F$300,"Summer")</f>
        <v>0</v>
      </c>
      <c r="G6" s="129">
        <f>SUMIF('Salary &amp; Fringe'!$E$1:$E$300,"Senior Person 3",'Salary &amp; Fringe'!$AE$1:$AE$300)</f>
        <v>0</v>
      </c>
    </row>
    <row r="7" spans="1:7" x14ac:dyDescent="0.25">
      <c r="A7" s="18" t="s">
        <v>96</v>
      </c>
      <c r="B7" s="469" t="str">
        <f>IF(G7&gt;0,CONCATENATE((INDEX('Salary &amp; Fringe'!$A$1:$A$300,MATCH("Senior Person 4",'Salary &amp; Fringe'!$E$1:$E$300,FALSE),1))," ",(INDEX('Salary &amp; Fringe'!$B$1:$B$300,MATCH("Senior Person 4",'Salary &amp; Fringe'!$E$1:$E$300,FALSE),1))),"")</f>
        <v/>
      </c>
      <c r="C7" s="469"/>
      <c r="D7" s="70">
        <f>SUMIFS('Salary &amp; Fringe'!$U$1:'Salary &amp; Fringe'!$U$300,'Salary &amp; Fringe'!$E$1:'Salary &amp; Fringe'!$E$300,"Senior Person 4",'Salary &amp; Fringe'!$F$1:'Salary &amp; Fringe'!$F$300,"Calendar(12)")</f>
        <v>0</v>
      </c>
      <c r="E7" s="70">
        <f>SUMIFS('Salary &amp; Fringe'!$U$1:'Salary &amp; Fringe'!$U$300,'Salary &amp; Fringe'!$E$1:'Salary &amp; Fringe'!$E$300,"Senior Person 4",'Salary &amp; Fringe'!$F$1:'Salary &amp; Fringe'!$F$300,"Academic")</f>
        <v>0</v>
      </c>
      <c r="F7" s="70">
        <f>SUMIFS('Salary &amp; Fringe'!$U$1:'Salary &amp; Fringe'!$U$300,'Salary &amp; Fringe'!$E$1:'Salary &amp; Fringe'!$E$300,"Senior Person 4",'Salary &amp; Fringe'!$F$1:'Salary &amp; Fringe'!$F$300,"Summer")</f>
        <v>0</v>
      </c>
      <c r="G7" s="129">
        <f>SUMIF('Salary &amp; Fringe'!$E$1:$E$300,"Senior Person 4",'Salary &amp; Fringe'!$AE$1:$AE$300)</f>
        <v>0</v>
      </c>
    </row>
    <row r="8" spans="1:7" x14ac:dyDescent="0.25">
      <c r="A8" s="18" t="s">
        <v>97</v>
      </c>
      <c r="B8" s="469" t="str">
        <f>IF(G8&gt;0,CONCATENATE((INDEX('Salary &amp; Fringe'!$A$1:$A$300,MATCH("Senior Person 5",'Salary &amp; Fringe'!$E$1:$E$300,FALSE),1))," ",(INDEX('Salary &amp; Fringe'!$B$1:$B$300,MATCH("Senior Person 5",'Salary &amp; Fringe'!$E$1:$E$300,FALSE),1))),"")</f>
        <v/>
      </c>
      <c r="C8" s="469"/>
      <c r="D8" s="70">
        <f>SUMIFS('Salary &amp; Fringe'!$U$1:'Salary &amp; Fringe'!$U$300,'Salary &amp; Fringe'!$E$1:'Salary &amp; Fringe'!$E$300,"Senior Person 5",'Salary &amp; Fringe'!$F$1:'Salary &amp; Fringe'!$F$300,"Calendar(12)")</f>
        <v>0</v>
      </c>
      <c r="E8" s="70">
        <f>SUMIFS('Salary &amp; Fringe'!$U$1:'Salary &amp; Fringe'!$U$300,'Salary &amp; Fringe'!$E$1:'Salary &amp; Fringe'!$E$300,"Senior Person 5",'Salary &amp; Fringe'!$F$1:'Salary &amp; Fringe'!$F$300,"Academic")</f>
        <v>0</v>
      </c>
      <c r="F8" s="70">
        <f>SUMIFS('Salary &amp; Fringe'!$U$1:'Salary &amp; Fringe'!$U$300,'Salary &amp; Fringe'!$E$1:'Salary &amp; Fringe'!$E$300,"Senior Person 5",'Salary &amp; Fringe'!$F$1:'Salary &amp; Fringe'!$F$300,"Summer")</f>
        <v>0</v>
      </c>
      <c r="G8" s="129">
        <f>SUMIF('Salary &amp; Fringe'!$E$1:$E$300,"Senior Person 5",'Salary &amp; Fringe'!$AE$1:$AE$300)</f>
        <v>0</v>
      </c>
    </row>
    <row r="9" spans="1:7" x14ac:dyDescent="0.25">
      <c r="A9" s="18" t="s">
        <v>98</v>
      </c>
      <c r="B9" s="72">
        <f>SUMIFS('Salary &amp; Fringe'!$I$1:$I$300,'Salary &amp; Fringe'!$E$1:$E$300,"Senior (Other)", 'Salary &amp; Fringe'!$U$1:'Salary &amp; Fringe'!$U$300, "&gt;0")</f>
        <v>0</v>
      </c>
      <c r="C9" s="19" t="s">
        <v>100</v>
      </c>
      <c r="D9" s="70">
        <f>SUMIFS('Salary &amp; Fringe'!$U$1:'Salary &amp; Fringe'!$U$300,'Salary &amp; Fringe'!$E$1:'Salary &amp; Fringe'!$E$300,"Senior (Other)",'Salary &amp; Fringe'!$F$1:'Salary &amp; Fringe'!$F$300,"Calendar(12)")</f>
        <v>0</v>
      </c>
      <c r="E9" s="70">
        <f>SUMIFS('Salary &amp; Fringe'!$U$1:'Salary &amp; Fringe'!$U$300,'Salary &amp; Fringe'!$E$1:'Salary &amp; Fringe'!$E$300,"Senior (Other)",'Salary &amp; Fringe'!$F$1:'Salary &amp; Fringe'!$F$300,"Academic")</f>
        <v>0</v>
      </c>
      <c r="F9" s="70">
        <f>SUMIFS('Salary &amp; Fringe'!$U$1:'Salary &amp; Fringe'!$U$300,'Salary &amp; Fringe'!$E$1:'Salary &amp; Fringe'!$E$300,"Senior (Other)",'Salary &amp; Fringe'!$F$1:'Salary &amp; Fringe'!$F$300,"Summer")</f>
        <v>0</v>
      </c>
      <c r="G9" s="129">
        <f>SUMIF('Salary &amp; Fringe'!$E$1:$E$300,"Senior (Other)",'Salary &amp; Fringe'!$AE$1:$AE$300)</f>
        <v>0</v>
      </c>
    </row>
    <row r="10" spans="1:7" x14ac:dyDescent="0.25">
      <c r="A10" s="18" t="s">
        <v>99</v>
      </c>
      <c r="B10" s="76">
        <f>(COUNTIF(G4:G8,"&gt;0")+B9)</f>
        <v>0</v>
      </c>
      <c r="C10" s="19" t="s">
        <v>128</v>
      </c>
      <c r="D10" s="74">
        <f>SUM(D4:D9)</f>
        <v>0</v>
      </c>
      <c r="E10" s="74">
        <f>SUM(E4:E9)</f>
        <v>0</v>
      </c>
      <c r="F10" s="74">
        <f>SUM(F4:F9)</f>
        <v>0</v>
      </c>
      <c r="G10" s="130">
        <f>SUM(G4:G9)</f>
        <v>0</v>
      </c>
    </row>
    <row r="11" spans="1:7" x14ac:dyDescent="0.25">
      <c r="A11" s="470" t="s">
        <v>102</v>
      </c>
      <c r="B11" s="471"/>
      <c r="C11" s="472"/>
      <c r="D11" s="11"/>
      <c r="E11" s="11"/>
      <c r="F11" s="11"/>
      <c r="G11" s="131"/>
    </row>
    <row r="12" spans="1:7" x14ac:dyDescent="0.25">
      <c r="A12" s="18" t="s">
        <v>93</v>
      </c>
      <c r="B12" s="72">
        <f>SUMIFS('Salary &amp; Fringe'!$I$1:$I$300,'Salary &amp; Fringe'!$E$1:$E$300,"Postdoc", 'Salary &amp; Fringe'!$U$1:'Salary &amp; Fringe'!$U$300, "&gt;0")</f>
        <v>0</v>
      </c>
      <c r="C12" s="73" t="s">
        <v>103</v>
      </c>
      <c r="D12" s="71">
        <f>SUMIF('Salary &amp; Fringe'!$E$1:$E$300,"Postdoc",'Salary &amp; Fringe'!$U$1:$U$300)</f>
        <v>0</v>
      </c>
      <c r="E12" s="70">
        <v>0</v>
      </c>
      <c r="F12" s="70">
        <v>0</v>
      </c>
      <c r="G12" s="129">
        <f>SUMIF('Salary &amp; Fringe'!$E$1:$E$300,"Postdoc",'Salary &amp; Fringe'!$AE$1:$AE$300)</f>
        <v>0</v>
      </c>
    </row>
    <row r="13" spans="1:7" x14ac:dyDescent="0.25">
      <c r="A13" s="18" t="s">
        <v>94</v>
      </c>
      <c r="B13" s="72">
        <f>SUMIFS('Salary &amp; Fringe'!$I$1:$I$300,'Salary &amp; Fringe'!$E$1:$E$300,"Professional (Other)", 'Salary &amp; Fringe'!$U$1:'Salary &amp; Fringe'!$U$300, "&gt;0")</f>
        <v>0</v>
      </c>
      <c r="C13" s="73" t="s">
        <v>104</v>
      </c>
      <c r="D13" s="71">
        <f>SUMIF('Salary &amp; Fringe'!$E$1:$E$300,"Professional (Other)",'Salary &amp; Fringe'!$U$1:$U$300)</f>
        <v>0</v>
      </c>
      <c r="E13" s="70">
        <v>0</v>
      </c>
      <c r="F13" s="70">
        <v>0</v>
      </c>
      <c r="G13" s="129">
        <f>SUMIF('Salary &amp; Fringe'!$E$1:$E$300,"Professional (Other)",'Salary &amp; Fringe'!$AE$1:$AE$300)</f>
        <v>0</v>
      </c>
    </row>
    <row r="14" spans="1:7" x14ac:dyDescent="0.25">
      <c r="A14" s="18" t="s">
        <v>95</v>
      </c>
      <c r="B14" s="139"/>
      <c r="C14" s="473" t="s">
        <v>105</v>
      </c>
      <c r="D14" s="473"/>
      <c r="E14" s="473"/>
      <c r="F14" s="473"/>
      <c r="G14" s="129">
        <f>SUMIF('Salary &amp; Fringe'!$E$1:$E$300,"Grad",'Salary &amp; Fringe'!$AE$1:$AE$300)</f>
        <v>0</v>
      </c>
    </row>
    <row r="15" spans="1:7" x14ac:dyDescent="0.25">
      <c r="A15" s="18" t="s">
        <v>96</v>
      </c>
      <c r="B15" s="233"/>
      <c r="C15" s="474" t="s">
        <v>106</v>
      </c>
      <c r="D15" s="474"/>
      <c r="E15" s="474"/>
      <c r="F15" s="474"/>
      <c r="G15" s="129">
        <f>SUMIF('Salary &amp; Fringe'!$E$1:$E$300,"Undergrad",'Salary &amp; Fringe'!$AE$1:$AE$300)</f>
        <v>0</v>
      </c>
    </row>
    <row r="16" spans="1:7" x14ac:dyDescent="0.25">
      <c r="A16" s="18" t="s">
        <v>97</v>
      </c>
      <c r="B16" s="72">
        <f>SUMIFS('Salary &amp; Fringe'!$I$1:$I$300,'Salary &amp; Fringe'!$E$1:$E$300,"Clerical", 'Salary &amp; Fringe'!$U$1:'Salary &amp; Fringe'!$U$300, "&gt;0")</f>
        <v>0</v>
      </c>
      <c r="C16" s="473" t="s">
        <v>107</v>
      </c>
      <c r="D16" s="473"/>
      <c r="E16" s="473"/>
      <c r="F16" s="473"/>
      <c r="G16" s="129">
        <f>SUMIF('Salary &amp; Fringe'!$E$1:$E$300,"Clerical",'Salary &amp; Fringe'!$AE$1:$AE$300)</f>
        <v>0</v>
      </c>
    </row>
    <row r="17" spans="1:7" x14ac:dyDescent="0.25">
      <c r="A17" s="18" t="s">
        <v>98</v>
      </c>
      <c r="B17" s="72">
        <f>SUMIFS('Salary &amp; Fringe'!$I$1:$I$300,'Salary &amp; Fringe'!$E$1:$E$300,"Other*", 'Salary &amp; Fringe'!$U$1:'Salary &amp; Fringe'!$U$300, "&gt;0")</f>
        <v>0</v>
      </c>
      <c r="C17" s="474" t="s">
        <v>53</v>
      </c>
      <c r="D17" s="474"/>
      <c r="E17" s="474"/>
      <c r="F17" s="474"/>
      <c r="G17" s="129">
        <f>SUMIF('Salary &amp; Fringe'!$E$1:$E$300,"Other*",'Salary &amp; Fringe'!$AE$1:$AE$300)</f>
        <v>0</v>
      </c>
    </row>
    <row r="18" spans="1:7" x14ac:dyDescent="0.25">
      <c r="A18" s="475" t="s">
        <v>108</v>
      </c>
      <c r="B18" s="476"/>
      <c r="C18" s="476"/>
      <c r="D18" s="476"/>
      <c r="E18" s="476"/>
      <c r="F18" s="477"/>
      <c r="G18" s="130">
        <f>SUM(G10,G12:G17)</f>
        <v>0</v>
      </c>
    </row>
    <row r="19" spans="1:7" x14ac:dyDescent="0.25">
      <c r="A19" s="470" t="s">
        <v>109</v>
      </c>
      <c r="B19" s="471"/>
      <c r="C19" s="471"/>
      <c r="D19" s="471"/>
      <c r="E19" s="471"/>
      <c r="F19" s="472"/>
      <c r="G19" s="130">
        <f ca="1">TotalFringe9</f>
        <v>0</v>
      </c>
    </row>
    <row r="20" spans="1:7" x14ac:dyDescent="0.25">
      <c r="A20" s="475" t="s">
        <v>110</v>
      </c>
      <c r="B20" s="476"/>
      <c r="C20" s="476"/>
      <c r="D20" s="476"/>
      <c r="E20" s="476"/>
      <c r="F20" s="477"/>
      <c r="G20" s="130">
        <f ca="1">G18+G19</f>
        <v>0</v>
      </c>
    </row>
    <row r="21" spans="1:7" x14ac:dyDescent="0.25">
      <c r="A21" s="478" t="s">
        <v>111</v>
      </c>
      <c r="B21" s="479"/>
      <c r="C21" s="479"/>
      <c r="D21" s="479"/>
      <c r="E21" s="479"/>
      <c r="F21" s="480"/>
      <c r="G21" s="130"/>
    </row>
    <row r="22" spans="1:7" x14ac:dyDescent="0.25">
      <c r="A22" s="481" t="str">
        <f>IF(ISBLANK(Budget!V47),"",Budget!A47)</f>
        <v/>
      </c>
      <c r="B22" s="481"/>
      <c r="C22" s="481"/>
      <c r="D22" s="482" t="str">
        <f>IF(Budget!V47&gt;0,Budget!V47,"")</f>
        <v/>
      </c>
      <c r="E22" s="482"/>
      <c r="F22" s="482"/>
      <c r="G22" s="132"/>
    </row>
    <row r="23" spans="1:7" x14ac:dyDescent="0.25">
      <c r="A23" s="481" t="str">
        <f>IF(ISBLANK(Budget!V48),"",Budget!A48)</f>
        <v/>
      </c>
      <c r="B23" s="481"/>
      <c r="C23" s="481"/>
      <c r="D23" s="482" t="str">
        <f>IF(Budget!V48&gt;0,Budget!V48,"")</f>
        <v/>
      </c>
      <c r="E23" s="482"/>
      <c r="F23" s="482"/>
      <c r="G23" s="133"/>
    </row>
    <row r="24" spans="1:7" x14ac:dyDescent="0.25">
      <c r="A24" s="481" t="str">
        <f>IF(ISBLANK(Budget!V49),"",Budget!A49)</f>
        <v/>
      </c>
      <c r="B24" s="481"/>
      <c r="C24" s="481"/>
      <c r="D24" s="482" t="str">
        <f>IF(Budget!V49&gt;0,Budget!V49,"")</f>
        <v/>
      </c>
      <c r="E24" s="482"/>
      <c r="F24" s="482"/>
      <c r="G24" s="133"/>
    </row>
    <row r="25" spans="1:7" x14ac:dyDescent="0.25">
      <c r="A25" s="481" t="str">
        <f>IF(ISBLANK(Budget!V50),"",Budget!A50)</f>
        <v/>
      </c>
      <c r="B25" s="481"/>
      <c r="C25" s="481"/>
      <c r="D25" s="482" t="str">
        <f>IF(Budget!V50&gt;0,Budget!V50,"")</f>
        <v/>
      </c>
      <c r="E25" s="482"/>
      <c r="F25" s="482"/>
      <c r="G25" s="133"/>
    </row>
    <row r="26" spans="1:7" x14ac:dyDescent="0.25">
      <c r="A26" s="481" t="str">
        <f>IF(ISBLANK(Budget!V51),"",Budget!A51)</f>
        <v/>
      </c>
      <c r="B26" s="481"/>
      <c r="C26" s="481"/>
      <c r="D26" s="482" t="str">
        <f>IF(Budget!V51&gt;0,Budget!V51,"")</f>
        <v/>
      </c>
      <c r="E26" s="482"/>
      <c r="F26" s="482"/>
      <c r="G26" s="133"/>
    </row>
    <row r="27" spans="1:7" x14ac:dyDescent="0.25">
      <c r="A27" s="475" t="s">
        <v>58</v>
      </c>
      <c r="B27" s="476"/>
      <c r="C27" s="476"/>
      <c r="D27" s="476"/>
      <c r="E27" s="476"/>
      <c r="F27" s="477"/>
      <c r="G27" s="130">
        <f>Budget!V52</f>
        <v>0</v>
      </c>
    </row>
    <row r="28" spans="1:7" x14ac:dyDescent="0.25">
      <c r="A28" s="489" t="s">
        <v>112</v>
      </c>
      <c r="B28" s="489"/>
      <c r="C28" s="489"/>
      <c r="D28" s="489"/>
      <c r="E28" s="489"/>
      <c r="F28" s="489"/>
      <c r="G28" s="134"/>
    </row>
    <row r="29" spans="1:7" x14ac:dyDescent="0.25">
      <c r="A29" s="481" t="s">
        <v>203</v>
      </c>
      <c r="B29" s="481"/>
      <c r="C29" s="481"/>
      <c r="D29" s="481"/>
      <c r="E29" s="481"/>
      <c r="F29" s="481"/>
      <c r="G29" s="130">
        <f>Budget!V39</f>
        <v>0</v>
      </c>
    </row>
    <row r="30" spans="1:7" x14ac:dyDescent="0.25">
      <c r="A30" s="488" t="s">
        <v>113</v>
      </c>
      <c r="B30" s="488"/>
      <c r="C30" s="488"/>
      <c r="D30" s="488"/>
      <c r="E30" s="488"/>
      <c r="F30" s="488"/>
      <c r="G30" s="130">
        <f>Budget!V44</f>
        <v>0</v>
      </c>
    </row>
    <row r="31" spans="1:7" x14ac:dyDescent="0.25">
      <c r="A31" s="478" t="s">
        <v>114</v>
      </c>
      <c r="B31" s="479"/>
      <c r="C31" s="479"/>
      <c r="D31" s="498"/>
      <c r="E31" s="498"/>
      <c r="F31" s="499"/>
      <c r="G31" s="135"/>
    </row>
    <row r="32" spans="1:7" x14ac:dyDescent="0.25">
      <c r="A32" s="474" t="s">
        <v>115</v>
      </c>
      <c r="B32" s="474"/>
      <c r="C32" s="44">
        <f>SUMIF(Budget!$A$2:$A$504,"PS Stipends",Budget!$V$2:$V$504)</f>
        <v>0</v>
      </c>
      <c r="D32" s="20"/>
      <c r="E32" s="21"/>
      <c r="F32" s="21"/>
      <c r="G32" s="136"/>
    </row>
    <row r="33" spans="1:7" x14ac:dyDescent="0.25">
      <c r="A33" s="474" t="s">
        <v>116</v>
      </c>
      <c r="B33" s="474"/>
      <c r="C33" s="44">
        <f>SUMIF(Budget!$A$2:$A$504,"PS Travel",Budget!$V$2:$V$504)</f>
        <v>0</v>
      </c>
      <c r="D33" s="22"/>
      <c r="E33" s="23"/>
      <c r="F33" s="23"/>
      <c r="G33" s="136"/>
    </row>
    <row r="34" spans="1:7" x14ac:dyDescent="0.25">
      <c r="A34" s="474" t="s">
        <v>117</v>
      </c>
      <c r="B34" s="474"/>
      <c r="C34" s="44">
        <f>SUMIF(Budget!$A$2:$A$504,"PS Subsistence",Budget!$V$2:$V$504)</f>
        <v>0</v>
      </c>
      <c r="D34" s="22"/>
      <c r="E34" s="23"/>
      <c r="F34" s="23"/>
      <c r="G34" s="136"/>
    </row>
    <row r="35" spans="1:7" x14ac:dyDescent="0.25">
      <c r="A35" s="474" t="s">
        <v>118</v>
      </c>
      <c r="B35" s="474"/>
      <c r="C35" s="44">
        <f>SUMIF(Budget!$A$2:$A$504,"PS Other",Budget!$V$2:$V$504)</f>
        <v>0</v>
      </c>
      <c r="D35" s="12"/>
      <c r="E35" s="13"/>
      <c r="F35" s="13"/>
      <c r="G35" s="137"/>
    </row>
    <row r="36" spans="1:7" x14ac:dyDescent="0.25">
      <c r="A36" s="503"/>
      <c r="B36" s="504"/>
      <c r="C36" s="500" t="s">
        <v>59</v>
      </c>
      <c r="D36" s="501"/>
      <c r="E36" s="501"/>
      <c r="F36" s="502"/>
      <c r="G36" s="130">
        <f>Budget!V57</f>
        <v>0</v>
      </c>
    </row>
    <row r="37" spans="1:7" x14ac:dyDescent="0.25">
      <c r="A37" s="489" t="s">
        <v>119</v>
      </c>
      <c r="B37" s="489"/>
      <c r="C37" s="489"/>
      <c r="D37" s="489"/>
      <c r="E37" s="489"/>
      <c r="F37" s="489"/>
      <c r="G37" s="134"/>
    </row>
    <row r="38" spans="1:7" x14ac:dyDescent="0.25">
      <c r="A38" s="474" t="s">
        <v>120</v>
      </c>
      <c r="B38" s="474"/>
      <c r="C38" s="474"/>
      <c r="D38" s="474"/>
      <c r="E38" s="474"/>
      <c r="F38" s="474"/>
      <c r="G38" s="138">
        <f>SUMIF(Budget!$A$2:$A$504,"Materials &amp; Supplies",Budget!$V$2:$V$504)</f>
        <v>0</v>
      </c>
    </row>
    <row r="39" spans="1:7" x14ac:dyDescent="0.25">
      <c r="A39" s="474" t="s">
        <v>121</v>
      </c>
      <c r="B39" s="474"/>
      <c r="C39" s="474"/>
      <c r="D39" s="474"/>
      <c r="E39" s="474"/>
      <c r="F39" s="474"/>
      <c r="G39" s="138">
        <f>SUMIF(Budget!$A$2:$A$504,"Publication Costs/Page Charges",Budget!$V$2:$V$504)</f>
        <v>0</v>
      </c>
    </row>
    <row r="40" spans="1:7" x14ac:dyDescent="0.25">
      <c r="A40" s="474" t="s">
        <v>122</v>
      </c>
      <c r="B40" s="474"/>
      <c r="C40" s="474"/>
      <c r="D40" s="474"/>
      <c r="E40" s="474"/>
      <c r="F40" s="474"/>
      <c r="G40" s="138">
        <f>SUMIF(Budget!$A$2:$A$504,"Consultant Services",Budget!$V$2:$V$504)</f>
        <v>0</v>
      </c>
    </row>
    <row r="41" spans="1:7" x14ac:dyDescent="0.25">
      <c r="A41" s="474" t="s">
        <v>123</v>
      </c>
      <c r="B41" s="474"/>
      <c r="C41" s="474"/>
      <c r="D41" s="474"/>
      <c r="E41" s="474"/>
      <c r="F41" s="474"/>
      <c r="G41" s="138">
        <f>SUMIF(Budget!$A$2:$A$504,"Computer (ADPE) Services",Budget!$V$2:$V$504)</f>
        <v>0</v>
      </c>
    </row>
    <row r="42" spans="1:7" x14ac:dyDescent="0.25">
      <c r="A42" s="474" t="s">
        <v>124</v>
      </c>
      <c r="B42" s="474"/>
      <c r="C42" s="474"/>
      <c r="D42" s="474"/>
      <c r="E42" s="474"/>
      <c r="F42" s="474"/>
      <c r="G42" s="138">
        <f ca="1">TotalSubs9+TotalMulti9</f>
        <v>0</v>
      </c>
    </row>
    <row r="43" spans="1:7" x14ac:dyDescent="0.25">
      <c r="A43" s="474" t="s">
        <v>125</v>
      </c>
      <c r="B43" s="474"/>
      <c r="C43" s="474"/>
      <c r="D43" s="474"/>
      <c r="E43" s="474"/>
      <c r="F43" s="474"/>
      <c r="G43" s="138">
        <f>SUMIF(Budget!$A$2:$A$504,"Vendor Contract",Budget!$V$2:$V$504)+SUMIF(Budget!$A$2:$A$504,"Service Agreement",Budget!$V$2:$V$504)+SUMIF(Budget!$A$2:$A$504,"Space Rentals",Budget!$V$2:$V$504)+SUMIF(Budget!$A$2:$A$504,"Other*",Budget!$V$2:$V$504)+SUMIF(Budget!$A$2:$A$504,"Equipment or Facility*",Budget!$V$2:$V$504)+TotalGSR9</f>
        <v>0</v>
      </c>
    </row>
    <row r="44" spans="1:7" x14ac:dyDescent="0.25">
      <c r="A44" s="497" t="s">
        <v>127</v>
      </c>
      <c r="B44" s="497"/>
      <c r="C44" s="497"/>
      <c r="D44" s="497"/>
      <c r="E44" s="497"/>
      <c r="F44" s="497"/>
      <c r="G44" s="130">
        <f ca="1">SUM(G38:G43)</f>
        <v>0</v>
      </c>
    </row>
    <row r="45" spans="1:7" x14ac:dyDescent="0.25">
      <c r="A45" s="489" t="s">
        <v>126</v>
      </c>
      <c r="B45" s="489"/>
      <c r="C45" s="489"/>
      <c r="D45" s="489"/>
      <c r="E45" s="489"/>
      <c r="F45" s="489"/>
      <c r="G45" s="130">
        <f ca="1">SUM(G20+G27+G29+G30+G36+G44)</f>
        <v>0</v>
      </c>
    </row>
    <row r="46" spans="1:7" x14ac:dyDescent="0.25">
      <c r="A46" s="491" t="s">
        <v>129</v>
      </c>
      <c r="B46" s="492"/>
      <c r="C46" s="492"/>
      <c r="D46" s="492"/>
      <c r="E46" s="492"/>
      <c r="F46" s="493"/>
      <c r="G46" s="134"/>
    </row>
    <row r="47" spans="1:7" x14ac:dyDescent="0.25">
      <c r="C47" s="57" t="str">
        <f>Budget!V105</f>
        <v xml:space="preserve"> </v>
      </c>
      <c r="D47" s="75" t="s">
        <v>130</v>
      </c>
      <c r="E47" s="45">
        <f ca="1">Budget!V101</f>
        <v>0</v>
      </c>
      <c r="F47" t="s">
        <v>55</v>
      </c>
      <c r="G47" s="130">
        <f ca="1">Budget!V109</f>
        <v>0</v>
      </c>
    </row>
    <row r="48" spans="1:7" x14ac:dyDescent="0.25">
      <c r="A48" s="478" t="s">
        <v>131</v>
      </c>
      <c r="B48" s="479"/>
      <c r="C48" s="479"/>
      <c r="D48" s="479"/>
      <c r="E48" s="479"/>
      <c r="F48" s="480"/>
      <c r="G48" s="130">
        <f ca="1">G45+G47</f>
        <v>0</v>
      </c>
    </row>
    <row r="49" spans="1:7" x14ac:dyDescent="0.25">
      <c r="A49" s="494" t="s">
        <v>213</v>
      </c>
      <c r="B49" s="495"/>
      <c r="C49" s="495"/>
      <c r="D49" s="495"/>
      <c r="E49" s="495"/>
      <c r="F49" s="496"/>
      <c r="G49" s="141"/>
    </row>
    <row r="50" spans="1:7" x14ac:dyDescent="0.25">
      <c r="A50" s="483" t="s">
        <v>132</v>
      </c>
      <c r="B50" s="484"/>
      <c r="C50" s="484"/>
      <c r="D50" s="484"/>
      <c r="E50" s="484"/>
      <c r="F50" s="485"/>
      <c r="G50" s="138">
        <f ca="1">IF(G49&gt;0, G48-G49, G48)</f>
        <v>0</v>
      </c>
    </row>
  </sheetData>
  <sheetProtection algorithmName="SHA-512" hashValue="V2dpYu21Mgdsqzp8gUH1eZ17UKO3tAcpY270pJJJ4v1E4h13TZfRxJzNwTUsEIjGxd0VQRS2I9u27nt2cRWKcw==" saltValue="ep9qcZRAWU8Fox/rUk2/7w==" spinCount="100000" sheet="1" objects="1" scenarios="1" selectLockedCells="1"/>
  <mergeCells count="52">
    <mergeCell ref="A1:G1"/>
    <mergeCell ref="B6:C6"/>
    <mergeCell ref="A22:C22"/>
    <mergeCell ref="D22:F22"/>
    <mergeCell ref="B7:C7"/>
    <mergeCell ref="B8:C8"/>
    <mergeCell ref="A11:C11"/>
    <mergeCell ref="C14:F14"/>
    <mergeCell ref="C15:F15"/>
    <mergeCell ref="C16:F16"/>
    <mergeCell ref="C17:F17"/>
    <mergeCell ref="A18:F18"/>
    <mergeCell ref="A19:F19"/>
    <mergeCell ref="A20:F20"/>
    <mergeCell ref="A21:F21"/>
    <mergeCell ref="A2:C3"/>
    <mergeCell ref="D2:F2"/>
    <mergeCell ref="G2:G3"/>
    <mergeCell ref="B4:C4"/>
    <mergeCell ref="B5:C5"/>
    <mergeCell ref="D23:F23"/>
    <mergeCell ref="A23:C23"/>
    <mergeCell ref="A24:C24"/>
    <mergeCell ref="D24:F24"/>
    <mergeCell ref="A46:F46"/>
    <mergeCell ref="A48:F48"/>
    <mergeCell ref="A26:C26"/>
    <mergeCell ref="D26:F26"/>
    <mergeCell ref="A30:F30"/>
    <mergeCell ref="A27:F27"/>
    <mergeCell ref="A28:F28"/>
    <mergeCell ref="A29:F29"/>
    <mergeCell ref="A38:F38"/>
    <mergeCell ref="A33:B33"/>
    <mergeCell ref="A31:F31"/>
    <mergeCell ref="A32:B32"/>
    <mergeCell ref="A49:F49"/>
    <mergeCell ref="A50:F50"/>
    <mergeCell ref="A25:C25"/>
    <mergeCell ref="D25:F25"/>
    <mergeCell ref="A45:F45"/>
    <mergeCell ref="A35:B35"/>
    <mergeCell ref="A36:B36"/>
    <mergeCell ref="A40:F40"/>
    <mergeCell ref="A41:F41"/>
    <mergeCell ref="A42:F42"/>
    <mergeCell ref="A43:F43"/>
    <mergeCell ref="A44:F44"/>
    <mergeCell ref="A39:F39"/>
    <mergeCell ref="A34:B34"/>
    <mergeCell ref="C36:F36"/>
    <mergeCell ref="A37:F37"/>
  </mergeCells>
  <phoneticPr fontId="9" type="noConversion"/>
  <pageMargins left="0.75" right="0.75" top="1" bottom="1" header="0.5" footer="0.5"/>
  <pageSetup scale="80" orientation="portrait" horizontalDpi="4294967292" verticalDpi="4294967292" r:id="rId1"/>
  <rowBreaks count="1" manualBreakCount="1">
    <brk id="50" max="16383" man="1"/>
  </rowBreaks>
  <colBreaks count="1" manualBreakCount="1">
    <brk id="7" max="1048575" man="1"/>
  </colBreaks>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G50"/>
  <sheetViews>
    <sheetView topLeftCell="A22" workbookViewId="0">
      <selection activeCell="G49" sqref="G49"/>
    </sheetView>
  </sheetViews>
  <sheetFormatPr defaultColWidth="11" defaultRowHeight="15.75" x14ac:dyDescent="0.25"/>
  <cols>
    <col min="1" max="1" width="5.875" customWidth="1"/>
    <col min="2" max="2" width="7" customWidth="1"/>
    <col min="3" max="3" width="43.625" customWidth="1"/>
    <col min="7" max="7" width="14.625" customWidth="1"/>
  </cols>
  <sheetData>
    <row r="1" spans="1:7" s="140" customFormat="1" ht="24.95" customHeight="1" x14ac:dyDescent="0.25">
      <c r="A1" s="490" t="s">
        <v>269</v>
      </c>
      <c r="B1" s="490"/>
      <c r="C1" s="490"/>
      <c r="D1" s="490"/>
      <c r="E1" s="490"/>
      <c r="F1" s="490"/>
      <c r="G1" s="490"/>
    </row>
    <row r="2" spans="1:7" x14ac:dyDescent="0.25">
      <c r="A2" s="505" t="s">
        <v>101</v>
      </c>
      <c r="B2" s="506"/>
      <c r="C2" s="507"/>
      <c r="D2" s="468" t="s">
        <v>88</v>
      </c>
      <c r="E2" s="468"/>
      <c r="F2" s="468"/>
      <c r="G2" s="486" t="s">
        <v>92</v>
      </c>
    </row>
    <row r="3" spans="1:7" x14ac:dyDescent="0.25">
      <c r="A3" s="508"/>
      <c r="B3" s="509"/>
      <c r="C3" s="510"/>
      <c r="D3" s="74" t="s">
        <v>89</v>
      </c>
      <c r="E3" s="74" t="s">
        <v>90</v>
      </c>
      <c r="F3" s="74" t="s">
        <v>91</v>
      </c>
      <c r="G3" s="487"/>
    </row>
    <row r="4" spans="1:7" x14ac:dyDescent="0.25">
      <c r="A4" s="18" t="s">
        <v>93</v>
      </c>
      <c r="B4" s="469" t="str">
        <f ca="1">IF(G4&gt;0,CONCATENATE((INDEX('Salary &amp; Fringe'!$A$1:$A$300,MATCH("Senior Person 1",'Salary &amp; Fringe'!$E$1:$E$300,FALSE),1))," ",(INDEX('Salary &amp; Fringe'!$B$1:$B$300,MATCH("Senior Person 1",'Salary &amp; Fringe'!$E$1:$E$300,FALSE),1))),"")</f>
        <v/>
      </c>
      <c r="C4" s="469"/>
      <c r="D4" s="70">
        <f>SUMIFS('Salary &amp; Fringe'!$V$1:'Salary &amp; Fringe'!$V$300,'Salary &amp; Fringe'!$E$1:'Salary &amp; Fringe'!$E$300,"Senior Person 1",'Salary &amp; Fringe'!$F$1:'Salary &amp; Fringe'!$F$300,"Calendar(12)")</f>
        <v>0</v>
      </c>
      <c r="E4" s="70">
        <f>SUMIFS('Salary &amp; Fringe'!$V$1:'Salary &amp; Fringe'!$V$300,'Salary &amp; Fringe'!$E$1:'Salary &amp; Fringe'!$E$300,"Senior Person 1",'Salary &amp; Fringe'!$F$1:'Salary &amp; Fringe'!$F$300,"Academic")</f>
        <v>0</v>
      </c>
      <c r="F4" s="70">
        <f>SUMIFS('Salary &amp; Fringe'!$V$1:'Salary &amp; Fringe'!$V$300,'Salary &amp; Fringe'!$E$1:'Salary &amp; Fringe'!$E$300,"Senior Person 1",'Salary &amp; Fringe'!$F$1:'Salary &amp; Fringe'!$F$300,"Summer")</f>
        <v>0</v>
      </c>
      <c r="G4" s="129">
        <f ca="1">SUMIF('Salary &amp; Fringe'!$E$1:$E$300,"Senior Person 1",'Salary &amp; Fringe'!$AF$1:$AF$286)</f>
        <v>0</v>
      </c>
    </row>
    <row r="5" spans="1:7" x14ac:dyDescent="0.25">
      <c r="A5" s="18" t="s">
        <v>94</v>
      </c>
      <c r="B5" s="469" t="str">
        <f ca="1">IF(G5&gt;0,CONCATENATE((INDEX('Salary &amp; Fringe'!$A$1:$A$300,MATCH("Senior Person 2",'Salary &amp; Fringe'!$E$1:$E$300,FALSE),1))," ",(INDEX('Salary &amp; Fringe'!$B$1:$B$300,MATCH("Senior Person 2",'Salary &amp; Fringe'!$E$1:$E$300,FALSE),1))),"")</f>
        <v/>
      </c>
      <c r="C5" s="469"/>
      <c r="D5" s="70">
        <f>SUMIFS('Salary &amp; Fringe'!$V$1:'Salary &amp; Fringe'!$V$300,'Salary &amp; Fringe'!$E$1:'Salary &amp; Fringe'!$E$300,"Senior Person 2",'Salary &amp; Fringe'!$F$1:'Salary &amp; Fringe'!$F$300,"Calendar(12)")</f>
        <v>0</v>
      </c>
      <c r="E5" s="70">
        <f>SUMIFS('Salary &amp; Fringe'!$V$1:'Salary &amp; Fringe'!$V$300,'Salary &amp; Fringe'!$E$1:'Salary &amp; Fringe'!$E$300,"Senior Person 2",'Salary &amp; Fringe'!$F$1:'Salary &amp; Fringe'!$F$300,"Academic")</f>
        <v>0</v>
      </c>
      <c r="F5" s="70">
        <f>SUMIFS('Salary &amp; Fringe'!$V$1:'Salary &amp; Fringe'!$V$300,'Salary &amp; Fringe'!$E$1:'Salary &amp; Fringe'!$E$300,"Senior Person 2",'Salary &amp; Fringe'!$F$1:'Salary &amp; Fringe'!$F$300,"Summer")</f>
        <v>0</v>
      </c>
      <c r="G5" s="129">
        <f ca="1">SUMIF('Salary &amp; Fringe'!$E$1:$E$300,"Senior Person 2",'Salary &amp; Fringe'!$AF$1:$AF$286)</f>
        <v>0</v>
      </c>
    </row>
    <row r="6" spans="1:7" x14ac:dyDescent="0.25">
      <c r="A6" s="18" t="s">
        <v>95</v>
      </c>
      <c r="B6" s="469" t="str">
        <f ca="1">IF(G6&gt;0,CONCATENATE((INDEX('Salary &amp; Fringe'!$A$1:$A$300,MATCH("Senior Person 3",'Salary &amp; Fringe'!$E$1:$E$300,FALSE),1))," ",(INDEX('Salary &amp; Fringe'!$B$1:$B$300,MATCH("Senior Person 3",'Salary &amp; Fringe'!$E$1:$E$300,FALSE),1))),"")</f>
        <v/>
      </c>
      <c r="C6" s="469"/>
      <c r="D6" s="70">
        <f>SUMIFS('Salary &amp; Fringe'!$V$1:'Salary &amp; Fringe'!$V$300,'Salary &amp; Fringe'!$E$1:'Salary &amp; Fringe'!$E$300,"Senior Person 3",'Salary &amp; Fringe'!$F$1:'Salary &amp; Fringe'!$F$300,"Calendar(12)")</f>
        <v>0</v>
      </c>
      <c r="E6" s="70">
        <f>SUMIFS('Salary &amp; Fringe'!$V$1:'Salary &amp; Fringe'!$V$300,'Salary &amp; Fringe'!$E$1:'Salary &amp; Fringe'!$E$300,"Senior Person 3",'Salary &amp; Fringe'!$F$1:'Salary &amp; Fringe'!$F$300,"Academic")</f>
        <v>0</v>
      </c>
      <c r="F6" s="70">
        <f>SUMIFS('Salary &amp; Fringe'!$V$1:'Salary &amp; Fringe'!$V$300,'Salary &amp; Fringe'!$E$1:'Salary &amp; Fringe'!$E$300,"Senior Person 3",'Salary &amp; Fringe'!$F$1:'Salary &amp; Fringe'!$F$300,"Summer")</f>
        <v>0</v>
      </c>
      <c r="G6" s="129">
        <f ca="1">SUMIF('Salary &amp; Fringe'!$E$1:$E$300,"Senior Person 3",'Salary &amp; Fringe'!$AF$1:$AF$286)</f>
        <v>0</v>
      </c>
    </row>
    <row r="7" spans="1:7" x14ac:dyDescent="0.25">
      <c r="A7" s="18" t="s">
        <v>96</v>
      </c>
      <c r="B7" s="469" t="str">
        <f ca="1">IF(G7&gt;0,CONCATENATE((INDEX('Salary &amp; Fringe'!$A$1:$A$300,MATCH("Senior Person 4",'Salary &amp; Fringe'!$E$1:$E$300,FALSE),1))," ",(INDEX('Salary &amp; Fringe'!$B$1:$B$300,MATCH("Senior Person 4",'Salary &amp; Fringe'!$E$1:$E$300,FALSE),1))),"")</f>
        <v/>
      </c>
      <c r="C7" s="469"/>
      <c r="D7" s="70">
        <f>SUMIFS('Salary &amp; Fringe'!$V$1:'Salary &amp; Fringe'!$V$300,'Salary &amp; Fringe'!$E$1:'Salary &amp; Fringe'!$E$300,"Senior Person 4",'Salary &amp; Fringe'!$F$1:'Salary &amp; Fringe'!$F$300,"Calendar(12)")</f>
        <v>0</v>
      </c>
      <c r="E7" s="70">
        <f>SUMIFS('Salary &amp; Fringe'!$V$1:'Salary &amp; Fringe'!$V$300,'Salary &amp; Fringe'!$E$1:'Salary &amp; Fringe'!$E$300,"Senior Person 4",'Salary &amp; Fringe'!$F$1:'Salary &amp; Fringe'!$F$300,"Academic")</f>
        <v>0</v>
      </c>
      <c r="F7" s="70">
        <f>SUMIFS('Salary &amp; Fringe'!$V$1:'Salary &amp; Fringe'!$V$300,'Salary &amp; Fringe'!$E$1:'Salary &amp; Fringe'!$E$300,"Senior Person 4",'Salary &amp; Fringe'!$F$1:'Salary &amp; Fringe'!$F$300,"Summer")</f>
        <v>0</v>
      </c>
      <c r="G7" s="129">
        <f ca="1">SUMIF('Salary &amp; Fringe'!$E$1:$E$300,"Senior Person 4",'Salary &amp; Fringe'!$AF$1:$AF$286)</f>
        <v>0</v>
      </c>
    </row>
    <row r="8" spans="1:7" x14ac:dyDescent="0.25">
      <c r="A8" s="18" t="s">
        <v>97</v>
      </c>
      <c r="B8" s="469" t="str">
        <f ca="1">IF(G8&gt;0,CONCATENATE((INDEX('Salary &amp; Fringe'!$A$1:$A$300,MATCH("Senior Person 5",'Salary &amp; Fringe'!$E$1:$E$300,FALSE),1))," ",(INDEX('Salary &amp; Fringe'!$B$1:$B$300,MATCH("Senior Person 5",'Salary &amp; Fringe'!$E$1:$E$300,FALSE),1))),"")</f>
        <v/>
      </c>
      <c r="C8" s="469"/>
      <c r="D8" s="70">
        <f>SUMIFS('Salary &amp; Fringe'!$V$1:'Salary &amp; Fringe'!$V$300,'Salary &amp; Fringe'!$E$1:'Salary &amp; Fringe'!$E$300,"Senior Person 5",'Salary &amp; Fringe'!$F$1:'Salary &amp; Fringe'!$F$300,"Calendar(12)")</f>
        <v>0</v>
      </c>
      <c r="E8" s="70">
        <f>SUMIFS('Salary &amp; Fringe'!$V$1:'Salary &amp; Fringe'!$V$300,'Salary &amp; Fringe'!$E$1:'Salary &amp; Fringe'!$E$300,"Senior Person 5",'Salary &amp; Fringe'!$F$1:'Salary &amp; Fringe'!$F$300,"Academic")</f>
        <v>0</v>
      </c>
      <c r="F8" s="70">
        <f>SUMIFS('Salary &amp; Fringe'!$V$1:'Salary &amp; Fringe'!$V$300,'Salary &amp; Fringe'!$E$1:'Salary &amp; Fringe'!$E$300,"Senior Person 5",'Salary &amp; Fringe'!$F$1:'Salary &amp; Fringe'!$F$300,"Summer")</f>
        <v>0</v>
      </c>
      <c r="G8" s="129">
        <f ca="1">SUMIF('Salary &amp; Fringe'!$E$1:$E$300,"Senior Person 5",'Salary &amp; Fringe'!$AF$1:$AF$286)</f>
        <v>0</v>
      </c>
    </row>
    <row r="9" spans="1:7" x14ac:dyDescent="0.25">
      <c r="A9" s="18" t="s">
        <v>98</v>
      </c>
      <c r="B9" s="72">
        <f>SUMIFS('Salary &amp; Fringe'!$I$1:$I$300,'Salary &amp; Fringe'!$E$1:$E$300,"Senior (Other)", 'Salary &amp; Fringe'!$V$1:'Salary &amp; Fringe'!$V$300, "&gt;0")</f>
        <v>0</v>
      </c>
      <c r="C9" s="19" t="s">
        <v>100</v>
      </c>
      <c r="D9" s="70">
        <f>SUMIFS('Salary &amp; Fringe'!$V$1:'Salary &amp; Fringe'!$V$300,'Salary &amp; Fringe'!$E$1:'Salary &amp; Fringe'!$E$300,"Senior (Other)",'Salary &amp; Fringe'!$F$1:'Salary &amp; Fringe'!$F$300,"Calendar(12)")</f>
        <v>0</v>
      </c>
      <c r="E9" s="70">
        <f>SUMIFS('Salary &amp; Fringe'!$V$1:'Salary &amp; Fringe'!$V$300,'Salary &amp; Fringe'!$E$1:'Salary &amp; Fringe'!$E$300,"Senior (Other)",'Salary &amp; Fringe'!$F$1:'Salary &amp; Fringe'!$F$300,"Academic")</f>
        <v>0</v>
      </c>
      <c r="F9" s="70">
        <f>SUMIFS('Salary &amp; Fringe'!$V$1:'Salary &amp; Fringe'!$V$300,'Salary &amp; Fringe'!$E$1:'Salary &amp; Fringe'!$E$300,"Senior (Other)",'Salary &amp; Fringe'!$F$1:'Salary &amp; Fringe'!$F$300,"Summer")</f>
        <v>0</v>
      </c>
      <c r="G9" s="129">
        <f ca="1">SUMIF('Salary &amp; Fringe'!$E$1:$E$300,"Senior (Other)",'Salary &amp; Fringe'!$AF$1:$AF$286)</f>
        <v>0</v>
      </c>
    </row>
    <row r="10" spans="1:7" x14ac:dyDescent="0.25">
      <c r="A10" s="18" t="s">
        <v>99</v>
      </c>
      <c r="B10" s="76">
        <f ca="1">(COUNTIF(G4:G8,"&gt;0")+B9)</f>
        <v>0</v>
      </c>
      <c r="C10" s="19" t="s">
        <v>128</v>
      </c>
      <c r="D10" s="74">
        <f>SUM(D4:D9)</f>
        <v>0</v>
      </c>
      <c r="E10" s="74">
        <f>SUM(E4:E9)</f>
        <v>0</v>
      </c>
      <c r="F10" s="74">
        <f>SUM(F4:F9)</f>
        <v>0</v>
      </c>
      <c r="G10" s="130">
        <f ca="1">SUM(G4:G9)</f>
        <v>0</v>
      </c>
    </row>
    <row r="11" spans="1:7" x14ac:dyDescent="0.25">
      <c r="A11" s="470" t="s">
        <v>102</v>
      </c>
      <c r="B11" s="471"/>
      <c r="C11" s="472"/>
      <c r="D11" s="11"/>
      <c r="E11" s="11"/>
      <c r="F11" s="11"/>
      <c r="G11" s="131"/>
    </row>
    <row r="12" spans="1:7" x14ac:dyDescent="0.25">
      <c r="A12" s="18" t="s">
        <v>93</v>
      </c>
      <c r="B12" s="72">
        <f>SUMIFS('Salary &amp; Fringe'!$I$1:$I$300,'Salary &amp; Fringe'!$E$1:$E$300,"Postdoc", 'Salary &amp; Fringe'!$V$1:'Salary &amp; Fringe'!$V$300, "&gt;0")</f>
        <v>0</v>
      </c>
      <c r="C12" s="73" t="s">
        <v>103</v>
      </c>
      <c r="D12" s="71">
        <f>SUMIF('Salary &amp; Fringe'!$E$1:$E$300,"Postdoc",'Salary &amp; Fringe'!$V$1:$V$300)</f>
        <v>0</v>
      </c>
      <c r="E12" s="70">
        <v>0</v>
      </c>
      <c r="F12" s="70">
        <v>0</v>
      </c>
      <c r="G12" s="129">
        <f ca="1">SUMIF('Salary &amp; Fringe'!$E$1:$E$300,"Postdoc",'Salary &amp; Fringe'!$AF$1:$AF$286)</f>
        <v>0</v>
      </c>
    </row>
    <row r="13" spans="1:7" x14ac:dyDescent="0.25">
      <c r="A13" s="18" t="s">
        <v>94</v>
      </c>
      <c r="B13" s="72">
        <f>SUMIFS('Salary &amp; Fringe'!$I$1:$I$300,'Salary &amp; Fringe'!$E$1:$E$300,"Professional (Other)", 'Salary &amp; Fringe'!$V$1:'Salary &amp; Fringe'!$V$300, "&gt;0")</f>
        <v>0</v>
      </c>
      <c r="C13" s="73" t="s">
        <v>104</v>
      </c>
      <c r="D13" s="71">
        <f>SUMIF('Salary &amp; Fringe'!$E$1:$E$300,"Professional (Other)",'Salary &amp; Fringe'!$V$1:$V$300)</f>
        <v>0</v>
      </c>
      <c r="E13" s="70">
        <v>0</v>
      </c>
      <c r="F13" s="70">
        <v>0</v>
      </c>
      <c r="G13" s="129">
        <f ca="1">SUMIF('Salary &amp; Fringe'!$E$1:$E$300,"Professional (Other)",'Salary &amp; Fringe'!$AF$1:$AF$286)</f>
        <v>0</v>
      </c>
    </row>
    <row r="14" spans="1:7" x14ac:dyDescent="0.25">
      <c r="A14" s="18" t="s">
        <v>95</v>
      </c>
      <c r="B14" s="139"/>
      <c r="C14" s="473" t="s">
        <v>105</v>
      </c>
      <c r="D14" s="473"/>
      <c r="E14" s="473"/>
      <c r="F14" s="473"/>
      <c r="G14" s="129">
        <f ca="1">SUMIF('Salary &amp; Fringe'!$E$1:$E$300,"Grad",'Salary &amp; Fringe'!$AF$1:$AF$286)</f>
        <v>0</v>
      </c>
    </row>
    <row r="15" spans="1:7" x14ac:dyDescent="0.25">
      <c r="A15" s="18" t="s">
        <v>96</v>
      </c>
      <c r="B15" s="233"/>
      <c r="C15" s="474" t="s">
        <v>106</v>
      </c>
      <c r="D15" s="474"/>
      <c r="E15" s="474"/>
      <c r="F15" s="474"/>
      <c r="G15" s="129">
        <f ca="1">SUMIF('Salary &amp; Fringe'!$E$1:$E$300,"Undergrad",'Salary &amp; Fringe'!$AF$1:$AF$286)</f>
        <v>0</v>
      </c>
    </row>
    <row r="16" spans="1:7" x14ac:dyDescent="0.25">
      <c r="A16" s="18" t="s">
        <v>97</v>
      </c>
      <c r="B16" s="72">
        <f>SUMIFS('Salary &amp; Fringe'!$I$1:$I$300,'Salary &amp; Fringe'!$E$1:$E$300,"Clerical", 'Salary &amp; Fringe'!$V$1:'Salary &amp; Fringe'!$V$300, "&gt;0")</f>
        <v>0</v>
      </c>
      <c r="C16" s="473" t="s">
        <v>107</v>
      </c>
      <c r="D16" s="473"/>
      <c r="E16" s="473"/>
      <c r="F16" s="473"/>
      <c r="G16" s="129">
        <f ca="1">SUMIF('Salary &amp; Fringe'!$E$1:$E$300,"Clerical",'Salary &amp; Fringe'!$AF$1:$AF$286)</f>
        <v>0</v>
      </c>
    </row>
    <row r="17" spans="1:7" x14ac:dyDescent="0.25">
      <c r="A17" s="18" t="s">
        <v>98</v>
      </c>
      <c r="B17" s="72">
        <f>SUMIFS('Salary &amp; Fringe'!$I$1:$I$300,'Salary &amp; Fringe'!$E$1:$E$300,"Other*", 'Salary &amp; Fringe'!$V$1:'Salary &amp; Fringe'!$V$300, "&gt;0")</f>
        <v>0</v>
      </c>
      <c r="C17" s="474" t="s">
        <v>53</v>
      </c>
      <c r="D17" s="474"/>
      <c r="E17" s="474"/>
      <c r="F17" s="474"/>
      <c r="G17" s="129">
        <f ca="1">SUMIF('Salary &amp; Fringe'!$E$1:$E$300,"Other*",'Salary &amp; Fringe'!$AF$1:$AF$286)</f>
        <v>0</v>
      </c>
    </row>
    <row r="18" spans="1:7" x14ac:dyDescent="0.25">
      <c r="A18" s="475" t="s">
        <v>108</v>
      </c>
      <c r="B18" s="476"/>
      <c r="C18" s="476"/>
      <c r="D18" s="476"/>
      <c r="E18" s="476"/>
      <c r="F18" s="477"/>
      <c r="G18" s="130">
        <f ca="1">SUM(G10,G12:G17)</f>
        <v>0</v>
      </c>
    </row>
    <row r="19" spans="1:7" x14ac:dyDescent="0.25">
      <c r="A19" s="470" t="s">
        <v>109</v>
      </c>
      <c r="B19" s="471"/>
      <c r="C19" s="471"/>
      <c r="D19" s="471"/>
      <c r="E19" s="471"/>
      <c r="F19" s="472"/>
      <c r="G19" s="130">
        <f ca="1">TotalFringe10</f>
        <v>0</v>
      </c>
    </row>
    <row r="20" spans="1:7" x14ac:dyDescent="0.25">
      <c r="A20" s="475" t="s">
        <v>110</v>
      </c>
      <c r="B20" s="476"/>
      <c r="C20" s="476"/>
      <c r="D20" s="476"/>
      <c r="E20" s="476"/>
      <c r="F20" s="477"/>
      <c r="G20" s="130">
        <f ca="1">G18+G19</f>
        <v>0</v>
      </c>
    </row>
    <row r="21" spans="1:7" x14ac:dyDescent="0.25">
      <c r="A21" s="478" t="s">
        <v>111</v>
      </c>
      <c r="B21" s="479"/>
      <c r="C21" s="479"/>
      <c r="D21" s="479"/>
      <c r="E21" s="479"/>
      <c r="F21" s="480"/>
      <c r="G21" s="130"/>
    </row>
    <row r="22" spans="1:7" x14ac:dyDescent="0.25">
      <c r="A22" s="481" t="str">
        <f>IF(ISBLANK(Budget!X47),"",Budget!X47)</f>
        <v/>
      </c>
      <c r="B22" s="481"/>
      <c r="C22" s="481"/>
      <c r="D22" s="482" t="str">
        <f>IF(Budget!X47&gt;0,Budget!X47,"")</f>
        <v/>
      </c>
      <c r="E22" s="482"/>
      <c r="F22" s="482"/>
      <c r="G22" s="132"/>
    </row>
    <row r="23" spans="1:7" x14ac:dyDescent="0.25">
      <c r="A23" s="481" t="str">
        <f>IF(ISBLANK(Budget!X48),"",Budget!X48)</f>
        <v/>
      </c>
      <c r="B23" s="481"/>
      <c r="C23" s="481"/>
      <c r="D23" s="482" t="str">
        <f>IF(Budget!X48&gt;0,Budget!X48,"")</f>
        <v/>
      </c>
      <c r="E23" s="482"/>
      <c r="F23" s="482"/>
      <c r="G23" s="133"/>
    </row>
    <row r="24" spans="1:7" x14ac:dyDescent="0.25">
      <c r="A24" s="481" t="str">
        <f>IF(ISBLANK(Budget!X49),"",Budget!X49)</f>
        <v/>
      </c>
      <c r="B24" s="481"/>
      <c r="C24" s="481"/>
      <c r="D24" s="482" t="str">
        <f>IF(Budget!X49&gt;0,Budget!X49,"")</f>
        <v/>
      </c>
      <c r="E24" s="482"/>
      <c r="F24" s="482"/>
      <c r="G24" s="133"/>
    </row>
    <row r="25" spans="1:7" x14ac:dyDescent="0.25">
      <c r="A25" s="481" t="str">
        <f>IF(ISBLANK(Budget!X50),"",Budget!X50)</f>
        <v/>
      </c>
      <c r="B25" s="481"/>
      <c r="C25" s="481"/>
      <c r="D25" s="482" t="str">
        <f>IF(Budget!X50&gt;0,Budget!X50,"")</f>
        <v/>
      </c>
      <c r="E25" s="482"/>
      <c r="F25" s="482"/>
      <c r="G25" s="133"/>
    </row>
    <row r="26" spans="1:7" x14ac:dyDescent="0.25">
      <c r="A26" s="481" t="str">
        <f>IF(ISBLANK(Budget!X51),"",Budget!X51)</f>
        <v/>
      </c>
      <c r="B26" s="481"/>
      <c r="C26" s="481"/>
      <c r="D26" s="482" t="str">
        <f>IF(Budget!X51&gt;0,Budget!X51,"")</f>
        <v/>
      </c>
      <c r="E26" s="482"/>
      <c r="F26" s="482"/>
      <c r="G26" s="133"/>
    </row>
    <row r="27" spans="1:7" x14ac:dyDescent="0.25">
      <c r="A27" s="475" t="s">
        <v>58</v>
      </c>
      <c r="B27" s="476"/>
      <c r="C27" s="476"/>
      <c r="D27" s="476"/>
      <c r="E27" s="476"/>
      <c r="F27" s="477"/>
      <c r="G27" s="130">
        <f>Budget!X52</f>
        <v>0</v>
      </c>
    </row>
    <row r="28" spans="1:7" x14ac:dyDescent="0.25">
      <c r="A28" s="489" t="s">
        <v>112</v>
      </c>
      <c r="B28" s="489"/>
      <c r="C28" s="489"/>
      <c r="D28" s="489"/>
      <c r="E28" s="489"/>
      <c r="F28" s="489"/>
      <c r="G28" s="134"/>
    </row>
    <row r="29" spans="1:7" x14ac:dyDescent="0.25">
      <c r="A29" s="481" t="s">
        <v>203</v>
      </c>
      <c r="B29" s="481"/>
      <c r="C29" s="481"/>
      <c r="D29" s="481"/>
      <c r="E29" s="481"/>
      <c r="F29" s="481"/>
      <c r="G29" s="130">
        <f>Budget!X39</f>
        <v>0</v>
      </c>
    </row>
    <row r="30" spans="1:7" x14ac:dyDescent="0.25">
      <c r="A30" s="488" t="s">
        <v>113</v>
      </c>
      <c r="B30" s="488"/>
      <c r="C30" s="488"/>
      <c r="D30" s="488"/>
      <c r="E30" s="488"/>
      <c r="F30" s="488"/>
      <c r="G30" s="130">
        <f>Budget!X44</f>
        <v>0</v>
      </c>
    </row>
    <row r="31" spans="1:7" x14ac:dyDescent="0.25">
      <c r="A31" s="478" t="s">
        <v>114</v>
      </c>
      <c r="B31" s="479"/>
      <c r="C31" s="479"/>
      <c r="D31" s="498"/>
      <c r="E31" s="498"/>
      <c r="F31" s="499"/>
      <c r="G31" s="135"/>
    </row>
    <row r="32" spans="1:7" x14ac:dyDescent="0.25">
      <c r="A32" s="474" t="s">
        <v>115</v>
      </c>
      <c r="B32" s="474"/>
      <c r="C32" s="44">
        <f>SUMIF(Budget!$A$2:$A$504,"PS Stipends",Budget!$X$2:$X$504)</f>
        <v>0</v>
      </c>
      <c r="D32" s="20"/>
      <c r="E32" s="21"/>
      <c r="F32" s="21"/>
      <c r="G32" s="136"/>
    </row>
    <row r="33" spans="1:7" x14ac:dyDescent="0.25">
      <c r="A33" s="474" t="s">
        <v>116</v>
      </c>
      <c r="B33" s="474"/>
      <c r="C33" s="44">
        <f>SUMIF(Budget!$A$2:$A$504,"PS Travel",Budget!$X$2:$X$504)</f>
        <v>0</v>
      </c>
      <c r="D33" s="22"/>
      <c r="E33" s="23"/>
      <c r="F33" s="23"/>
      <c r="G33" s="136"/>
    </row>
    <row r="34" spans="1:7" x14ac:dyDescent="0.25">
      <c r="A34" s="474" t="s">
        <v>117</v>
      </c>
      <c r="B34" s="474"/>
      <c r="C34" s="44">
        <f>SUMIF(Budget!$A$2:$A$504,"PS Subsistence",Budget!$X$2:$X$504)</f>
        <v>0</v>
      </c>
      <c r="D34" s="22"/>
      <c r="E34" s="23"/>
      <c r="F34" s="23"/>
      <c r="G34" s="136"/>
    </row>
    <row r="35" spans="1:7" x14ac:dyDescent="0.25">
      <c r="A35" s="474" t="s">
        <v>118</v>
      </c>
      <c r="B35" s="474"/>
      <c r="C35" s="44">
        <f>SUMIF(Budget!$A$2:$A$504,"PS Other",Budget!$X$2:$X$504)</f>
        <v>0</v>
      </c>
      <c r="D35" s="12"/>
      <c r="E35" s="13"/>
      <c r="F35" s="13"/>
      <c r="G35" s="137"/>
    </row>
    <row r="36" spans="1:7" x14ac:dyDescent="0.25">
      <c r="A36" s="503"/>
      <c r="B36" s="504"/>
      <c r="C36" s="500" t="s">
        <v>59</v>
      </c>
      <c r="D36" s="501"/>
      <c r="E36" s="501"/>
      <c r="F36" s="502"/>
      <c r="G36" s="130">
        <f>Budget!X57</f>
        <v>0</v>
      </c>
    </row>
    <row r="37" spans="1:7" x14ac:dyDescent="0.25">
      <c r="A37" s="489" t="s">
        <v>119</v>
      </c>
      <c r="B37" s="489"/>
      <c r="C37" s="489"/>
      <c r="D37" s="489"/>
      <c r="E37" s="489"/>
      <c r="F37" s="489"/>
      <c r="G37" s="134"/>
    </row>
    <row r="38" spans="1:7" x14ac:dyDescent="0.25">
      <c r="A38" s="474" t="s">
        <v>120</v>
      </c>
      <c r="B38" s="474"/>
      <c r="C38" s="474"/>
      <c r="D38" s="474"/>
      <c r="E38" s="474"/>
      <c r="F38" s="474"/>
      <c r="G38" s="138">
        <f>SUMIF(Budget!$A$2:$A$504,"Materials &amp; Supplies",Budget!$X$2:$X$504)</f>
        <v>0</v>
      </c>
    </row>
    <row r="39" spans="1:7" x14ac:dyDescent="0.25">
      <c r="A39" s="474" t="s">
        <v>121</v>
      </c>
      <c r="B39" s="474"/>
      <c r="C39" s="474"/>
      <c r="D39" s="474"/>
      <c r="E39" s="474"/>
      <c r="F39" s="474"/>
      <c r="G39" s="138">
        <f>SUMIF(Budget!$A$2:$A$504,"Publication Costs/Page Charges",Budget!$X$2:$X$504)</f>
        <v>0</v>
      </c>
    </row>
    <row r="40" spans="1:7" x14ac:dyDescent="0.25">
      <c r="A40" s="474" t="s">
        <v>122</v>
      </c>
      <c r="B40" s="474"/>
      <c r="C40" s="474"/>
      <c r="D40" s="474"/>
      <c r="E40" s="474"/>
      <c r="F40" s="474"/>
      <c r="G40" s="138">
        <f>SUMIF(Budget!$A$2:$A$504,"Consultant Services",Budget!$X$2:$X$504)</f>
        <v>0</v>
      </c>
    </row>
    <row r="41" spans="1:7" x14ac:dyDescent="0.25">
      <c r="A41" s="474" t="s">
        <v>123</v>
      </c>
      <c r="B41" s="474"/>
      <c r="C41" s="474"/>
      <c r="D41" s="474"/>
      <c r="E41" s="474"/>
      <c r="F41" s="474"/>
      <c r="G41" s="138">
        <f>SUMIF(Budget!$A$2:$A$504,"Computer (ADPE) Services",Budget!$X$2:$X$504)</f>
        <v>0</v>
      </c>
    </row>
    <row r="42" spans="1:7" x14ac:dyDescent="0.25">
      <c r="A42" s="474" t="s">
        <v>124</v>
      </c>
      <c r="B42" s="474"/>
      <c r="C42" s="474"/>
      <c r="D42" s="474"/>
      <c r="E42" s="474"/>
      <c r="F42" s="474"/>
      <c r="G42" s="138">
        <f ca="1">TotalSubs10+TotalMulti10</f>
        <v>0</v>
      </c>
    </row>
    <row r="43" spans="1:7" x14ac:dyDescent="0.25">
      <c r="A43" s="474" t="s">
        <v>125</v>
      </c>
      <c r="B43" s="474"/>
      <c r="C43" s="474"/>
      <c r="D43" s="474"/>
      <c r="E43" s="474"/>
      <c r="F43" s="474"/>
      <c r="G43" s="138">
        <f>SUMIF(Budget!$A$2:$A$504,"Vendor Contract",Budget!$X$2:$X$504)+SUMIF(Budget!$A$2:$A$504,"Service Agreement",Budget!$X$2:$X$504)+SUMIF(Budget!$A$2:$A$504,"Space Rentals",Budget!$X$2:$X$504)+SUMIF(Budget!$A$2:$A$504,"Other*",Budget!$X$2:$X$504)+SUMIF(Budget!$A$2:$A$504,"Equipment or Facility*",Budget!$X$2:$X$504)+TotalGSR10</f>
        <v>0</v>
      </c>
    </row>
    <row r="44" spans="1:7" x14ac:dyDescent="0.25">
      <c r="A44" s="497" t="s">
        <v>127</v>
      </c>
      <c r="B44" s="497"/>
      <c r="C44" s="497"/>
      <c r="D44" s="497"/>
      <c r="E44" s="497"/>
      <c r="F44" s="497"/>
      <c r="G44" s="130">
        <f ca="1">SUM(G38:G43)</f>
        <v>0</v>
      </c>
    </row>
    <row r="45" spans="1:7" x14ac:dyDescent="0.25">
      <c r="A45" s="489" t="s">
        <v>126</v>
      </c>
      <c r="B45" s="489"/>
      <c r="C45" s="489"/>
      <c r="D45" s="489"/>
      <c r="E45" s="489"/>
      <c r="F45" s="489"/>
      <c r="G45" s="130">
        <f ca="1">SUM(G20+G27+G29+G30+G36+G44)</f>
        <v>0</v>
      </c>
    </row>
    <row r="46" spans="1:7" x14ac:dyDescent="0.25">
      <c r="A46" s="491" t="s">
        <v>129</v>
      </c>
      <c r="B46" s="492"/>
      <c r="C46" s="492"/>
      <c r="D46" s="492"/>
      <c r="E46" s="492"/>
      <c r="F46" s="493"/>
      <c r="G46" s="134"/>
    </row>
    <row r="47" spans="1:7" x14ac:dyDescent="0.25">
      <c r="C47" s="57" t="str">
        <f>Budget!X105</f>
        <v xml:space="preserve"> </v>
      </c>
      <c r="D47" s="75" t="s">
        <v>130</v>
      </c>
      <c r="E47" s="45">
        <f ca="1">Budget!X101</f>
        <v>0</v>
      </c>
      <c r="F47" t="s">
        <v>55</v>
      </c>
      <c r="G47" s="130">
        <f ca="1">Budget!X109</f>
        <v>0</v>
      </c>
    </row>
    <row r="48" spans="1:7" x14ac:dyDescent="0.25">
      <c r="A48" s="478" t="s">
        <v>131</v>
      </c>
      <c r="B48" s="479"/>
      <c r="C48" s="479"/>
      <c r="D48" s="479"/>
      <c r="E48" s="479"/>
      <c r="F48" s="480"/>
      <c r="G48" s="130">
        <f ca="1">G45+G47</f>
        <v>0</v>
      </c>
    </row>
    <row r="49" spans="1:7" x14ac:dyDescent="0.25">
      <c r="A49" s="494" t="s">
        <v>213</v>
      </c>
      <c r="B49" s="495"/>
      <c r="C49" s="495"/>
      <c r="D49" s="495"/>
      <c r="E49" s="495"/>
      <c r="F49" s="496"/>
      <c r="G49" s="141"/>
    </row>
    <row r="50" spans="1:7" x14ac:dyDescent="0.25">
      <c r="A50" s="483" t="s">
        <v>132</v>
      </c>
      <c r="B50" s="484"/>
      <c r="C50" s="484"/>
      <c r="D50" s="484"/>
      <c r="E50" s="484"/>
      <c r="F50" s="485"/>
      <c r="G50" s="138">
        <f ca="1">IF(G49&gt;0, G48-G49, G48)</f>
        <v>0</v>
      </c>
    </row>
  </sheetData>
  <sheetProtection algorithmName="SHA-512" hashValue="Rel7LXlS9xHsfDdty2MZryADbUs7UVSMNaHn4ORwdpdk2MEvbEoZB3HtyflonF7Verfm2D6uPoLtQk2YOkSPzw==" saltValue="Z3pB6Tt+OoPiDa231q9VNQ==" spinCount="100000" sheet="1" objects="1" scenarios="1" selectLockedCells="1"/>
  <mergeCells count="52">
    <mergeCell ref="A1:G1"/>
    <mergeCell ref="B6:C6"/>
    <mergeCell ref="A22:C22"/>
    <mergeCell ref="D22:F22"/>
    <mergeCell ref="B7:C7"/>
    <mergeCell ref="B8:C8"/>
    <mergeCell ref="A11:C11"/>
    <mergeCell ref="C14:F14"/>
    <mergeCell ref="C15:F15"/>
    <mergeCell ref="C16:F16"/>
    <mergeCell ref="C17:F17"/>
    <mergeCell ref="A18:F18"/>
    <mergeCell ref="A19:F19"/>
    <mergeCell ref="A20:F20"/>
    <mergeCell ref="A21:F21"/>
    <mergeCell ref="A2:C3"/>
    <mergeCell ref="D2:F2"/>
    <mergeCell ref="G2:G3"/>
    <mergeCell ref="B4:C4"/>
    <mergeCell ref="B5:C5"/>
    <mergeCell ref="D23:F23"/>
    <mergeCell ref="A23:C23"/>
    <mergeCell ref="A24:C24"/>
    <mergeCell ref="D24:F24"/>
    <mergeCell ref="A46:F46"/>
    <mergeCell ref="A48:F48"/>
    <mergeCell ref="A26:C26"/>
    <mergeCell ref="D26:F26"/>
    <mergeCell ref="A30:F30"/>
    <mergeCell ref="A27:F27"/>
    <mergeCell ref="A28:F28"/>
    <mergeCell ref="A29:F29"/>
    <mergeCell ref="A38:F38"/>
    <mergeCell ref="A33:B33"/>
    <mergeCell ref="A31:F31"/>
    <mergeCell ref="A32:B32"/>
    <mergeCell ref="A49:F49"/>
    <mergeCell ref="A50:F50"/>
    <mergeCell ref="A25:C25"/>
    <mergeCell ref="D25:F25"/>
    <mergeCell ref="A45:F45"/>
    <mergeCell ref="A35:B35"/>
    <mergeCell ref="A36:B36"/>
    <mergeCell ref="A40:F40"/>
    <mergeCell ref="A41:F41"/>
    <mergeCell ref="A42:F42"/>
    <mergeCell ref="A43:F43"/>
    <mergeCell ref="A44:F44"/>
    <mergeCell ref="A39:F39"/>
    <mergeCell ref="A34:B34"/>
    <mergeCell ref="C36:F36"/>
    <mergeCell ref="A37:F37"/>
  </mergeCells>
  <phoneticPr fontId="9" type="noConversion"/>
  <pageMargins left="0.75" right="0.75" top="1" bottom="1" header="0.5" footer="0.5"/>
  <pageSetup scale="80" orientation="portrait" horizontalDpi="4294967292" verticalDpi="4294967292" r:id="rId1"/>
  <rowBreaks count="1" manualBreakCount="1">
    <brk id="50" max="16383" man="1"/>
  </rowBreaks>
  <colBreaks count="1" manualBreakCount="1">
    <brk id="7" max="1048575" man="1"/>
  </colBreaks>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G50"/>
  <sheetViews>
    <sheetView topLeftCell="A26" workbookViewId="0">
      <selection activeCell="G43" sqref="G43"/>
    </sheetView>
  </sheetViews>
  <sheetFormatPr defaultColWidth="11" defaultRowHeight="15.75" x14ac:dyDescent="0.25"/>
  <cols>
    <col min="1" max="1" width="5.875" customWidth="1"/>
    <col min="2" max="2" width="7" customWidth="1"/>
    <col min="3" max="3" width="43.625" customWidth="1"/>
    <col min="7" max="7" width="14.875" customWidth="1"/>
  </cols>
  <sheetData>
    <row r="1" spans="1:7" ht="18.75" x14ac:dyDescent="0.25">
      <c r="A1" s="542" t="s">
        <v>292</v>
      </c>
      <c r="B1" s="542"/>
      <c r="C1" s="542"/>
      <c r="D1" s="542"/>
      <c r="E1" s="542"/>
      <c r="F1" s="542"/>
      <c r="G1" s="542"/>
    </row>
    <row r="2" spans="1:7" x14ac:dyDescent="0.25">
      <c r="A2" s="543" t="s">
        <v>101</v>
      </c>
      <c r="B2" s="544"/>
      <c r="C2" s="545"/>
      <c r="D2" s="549" t="s">
        <v>88</v>
      </c>
      <c r="E2" s="549"/>
      <c r="F2" s="549"/>
      <c r="G2" s="550" t="s">
        <v>92</v>
      </c>
    </row>
    <row r="3" spans="1:7" x14ac:dyDescent="0.25">
      <c r="A3" s="546"/>
      <c r="B3" s="547"/>
      <c r="C3" s="548"/>
      <c r="D3" s="188" t="s">
        <v>89</v>
      </c>
      <c r="E3" s="188" t="s">
        <v>90</v>
      </c>
      <c r="F3" s="188" t="s">
        <v>91</v>
      </c>
      <c r="G3" s="551"/>
    </row>
    <row r="4" spans="1:7" x14ac:dyDescent="0.25">
      <c r="A4" s="189" t="s">
        <v>93</v>
      </c>
      <c r="B4" s="537" t="str">
        <f ca="1">IF(G4&gt;0,CONCATENATE((INDEX('Salary &amp; Fringe'!$A$1:$A$300,MATCH("Senior Person 1",'Salary &amp; Fringe'!$E$1:$E$300,FALSE),1))," ",(INDEX('Salary &amp; Fringe'!$B$1:$B$300,MATCH("Senior Person 1",'Salary &amp; Fringe'!$E$1:$E$300,FALSE),1))),"")</f>
        <v/>
      </c>
      <c r="C4" s="537"/>
      <c r="D4" s="190">
        <f>SUM('NSF Yr 1'!D4,'NSF Yr 2'!D4, 'NSF Yr 3'!D4, 'NSF Yr 4'!D4, 'NSF Yr 5'!D4, 'NSF Yr 6'!D4, 'NSF Yr 7'!D4, 'NSF Yr 8'!D4, 'NSF Yr 9'!D4, 'NSF Yr 10'!D4 )</f>
        <v>0</v>
      </c>
      <c r="E4" s="190">
        <f>SUM('NSF Yr 1'!E4,'NSF Yr 2'!E4, 'NSF Yr 3'!E4, 'NSF Yr 4'!E4, 'NSF Yr 5'!E4, 'NSF Yr 6'!E4, 'NSF Yr 7'!E4, 'NSF Yr 8'!E4, 'NSF Yr 9'!E4, 'NSF Yr 10'!E4 )</f>
        <v>0</v>
      </c>
      <c r="F4" s="190">
        <f>SUM('NSF Yr 1'!F4,'NSF Yr 2'!F4, 'NSF Yr 3'!F4, 'NSF Yr 4'!F4, 'NSF Yr 5'!F4, 'NSF Yr 6'!F4, 'NSF Yr 7'!F4, 'NSF Yr 8'!F4, 'NSF Yr 9'!F4, 'NSF Yr 10'!F4 )</f>
        <v>0</v>
      </c>
      <c r="G4" s="191">
        <f ca="1">SUM('NSF Yr 1'!G4,'NSF Yr 2'!G4, 'NSF Yr 3'!G4, 'NSF Yr 4'!G4, 'NSF Yr 5'!G4, 'NSF Yr 6'!G4, 'NSF Yr 7'!G4, 'NSF Yr 8'!G4, 'NSF Yr 9'!G4, 'NSF Yr 10'!G4 )</f>
        <v>0</v>
      </c>
    </row>
    <row r="5" spans="1:7" x14ac:dyDescent="0.25">
      <c r="A5" s="189" t="s">
        <v>94</v>
      </c>
      <c r="B5" s="537" t="str">
        <f ca="1">IF(G5&gt;0,CONCATENATE((INDEX('Salary &amp; Fringe'!$A$1:$A$300,MATCH("Senior Person 2",'Salary &amp; Fringe'!$E$1:$E$300,FALSE),1))," ",(INDEX('Salary &amp; Fringe'!$B$1:$B$300,MATCH("Senior Person 2",'Salary &amp; Fringe'!$E$1:$E$300,FALSE),1))),"")</f>
        <v/>
      </c>
      <c r="C5" s="537"/>
      <c r="D5" s="190">
        <f>SUM('NSF Yr 1'!D5,'NSF Yr 2'!D5, 'NSF Yr 3'!D5, 'NSF Yr 4'!D5, 'NSF Yr 5'!D5, 'NSF Yr 6'!D5, 'NSF Yr 7'!D5, 'NSF Yr 8'!D5, 'NSF Yr 9'!D5, 'NSF Yr 10'!D5 )</f>
        <v>0</v>
      </c>
      <c r="E5" s="190">
        <f>SUM('NSF Yr 1'!E5,'NSF Yr 2'!E5, 'NSF Yr 3'!E5, 'NSF Yr 4'!E5, 'NSF Yr 5'!E5, 'NSF Yr 6'!E5, 'NSF Yr 7'!E5, 'NSF Yr 8'!E5, 'NSF Yr 9'!E5, 'NSF Yr 10'!E5 )</f>
        <v>0</v>
      </c>
      <c r="F5" s="190">
        <f>SUM('NSF Yr 1'!F5,'NSF Yr 2'!F5, 'NSF Yr 3'!F5, 'NSF Yr 4'!F5, 'NSF Yr 5'!F5, 'NSF Yr 6'!F5, 'NSF Yr 7'!F5, 'NSF Yr 8'!F5, 'NSF Yr 9'!F5, 'NSF Yr 10'!F5 )</f>
        <v>0</v>
      </c>
      <c r="G5" s="191">
        <f ca="1">SUM('NSF Yr 1'!G5,'NSF Yr 2'!G5, 'NSF Yr 3'!G5, 'NSF Yr 4'!G5, 'NSF Yr 5'!G5, 'NSF Yr 6'!G5, 'NSF Yr 7'!G5, 'NSF Yr 8'!G5, 'NSF Yr 9'!G5, 'NSF Yr 10'!G5 )</f>
        <v>0</v>
      </c>
    </row>
    <row r="6" spans="1:7" x14ac:dyDescent="0.25">
      <c r="A6" s="189" t="s">
        <v>95</v>
      </c>
      <c r="B6" s="537" t="str">
        <f ca="1">IF(G6&gt;0,CONCATENATE((INDEX('Salary &amp; Fringe'!$A$1:$A$300,MATCH("Senior Person 3",'Salary &amp; Fringe'!$E$1:$E$300,FALSE),1))," ",(INDEX('Salary &amp; Fringe'!$B$1:$B$300,MATCH("Senior Person 3",'Salary &amp; Fringe'!$E$1:$E$300,FALSE),1))),"")</f>
        <v/>
      </c>
      <c r="C6" s="537"/>
      <c r="D6" s="190">
        <f>SUM('NSF Yr 1'!D6,'NSF Yr 2'!D6, 'NSF Yr 3'!D6, 'NSF Yr 4'!D6, 'NSF Yr 5'!D6, 'NSF Yr 6'!D6, 'NSF Yr 7'!D6, 'NSF Yr 8'!D6, 'NSF Yr 9'!D6, 'NSF Yr 10'!D6 )</f>
        <v>0</v>
      </c>
      <c r="E6" s="190">
        <f>SUM('NSF Yr 1'!E6,'NSF Yr 2'!E6, 'NSF Yr 3'!E6, 'NSF Yr 4'!E6, 'NSF Yr 5'!E6, 'NSF Yr 6'!E6, 'NSF Yr 7'!E6, 'NSF Yr 8'!E6, 'NSF Yr 9'!E6, 'NSF Yr 10'!E6 )</f>
        <v>0</v>
      </c>
      <c r="F6" s="190">
        <f>SUM('NSF Yr 1'!F6,'NSF Yr 2'!F6, 'NSF Yr 3'!F6, 'NSF Yr 4'!F6, 'NSF Yr 5'!F6, 'NSF Yr 6'!F6, 'NSF Yr 7'!F6, 'NSF Yr 8'!F6, 'NSF Yr 9'!F6, 'NSF Yr 10'!F6 )</f>
        <v>0</v>
      </c>
      <c r="G6" s="191">
        <f ca="1">SUM('NSF Yr 1'!G6,'NSF Yr 2'!G6, 'NSF Yr 3'!G6, 'NSF Yr 4'!G6, 'NSF Yr 5'!G6, 'NSF Yr 6'!G6, 'NSF Yr 7'!G6, 'NSF Yr 8'!G6, 'NSF Yr 9'!G6, 'NSF Yr 10'!G6 )</f>
        <v>0</v>
      </c>
    </row>
    <row r="7" spans="1:7" x14ac:dyDescent="0.25">
      <c r="A7" s="189" t="s">
        <v>96</v>
      </c>
      <c r="B7" s="537" t="str">
        <f ca="1">IF(G7&gt;0,CONCATENATE((INDEX('Salary &amp; Fringe'!$A$1:$A$300,MATCH("Senior Person 4",'Salary &amp; Fringe'!$E$1:$E$300,FALSE),1))," ",(INDEX('Salary &amp; Fringe'!$B$1:$B$300,MATCH("Senior Person 4",'Salary &amp; Fringe'!$E$1:$E$300,FALSE),1))),"")</f>
        <v/>
      </c>
      <c r="C7" s="537"/>
      <c r="D7" s="190">
        <f>SUM('NSF Yr 1'!D7,'NSF Yr 2'!D7, 'NSF Yr 3'!D7, 'NSF Yr 4'!D7, 'NSF Yr 5'!D7, 'NSF Yr 6'!D7, 'NSF Yr 7'!D7, 'NSF Yr 8'!D7, 'NSF Yr 9'!D7, 'NSF Yr 10'!D7 )</f>
        <v>0</v>
      </c>
      <c r="E7" s="190">
        <f>SUM('NSF Yr 1'!E7,'NSF Yr 2'!E7, 'NSF Yr 3'!E7, 'NSF Yr 4'!E7, 'NSF Yr 5'!E7, 'NSF Yr 6'!E7, 'NSF Yr 7'!E7, 'NSF Yr 8'!E7, 'NSF Yr 9'!E7, 'NSF Yr 10'!E7 )</f>
        <v>0</v>
      </c>
      <c r="F7" s="190">
        <f>SUM('NSF Yr 1'!F7,'NSF Yr 2'!F7, 'NSF Yr 3'!F7, 'NSF Yr 4'!F7, 'NSF Yr 5'!F7, 'NSF Yr 6'!F7, 'NSF Yr 7'!F7, 'NSF Yr 8'!F7, 'NSF Yr 9'!F7, 'NSF Yr 10'!F7 )</f>
        <v>0</v>
      </c>
      <c r="G7" s="191">
        <f ca="1">SUM('NSF Yr 1'!G7,'NSF Yr 2'!G7, 'NSF Yr 3'!G7, 'NSF Yr 4'!G7, 'NSF Yr 5'!G7, 'NSF Yr 6'!G7, 'NSF Yr 7'!G7, 'NSF Yr 8'!G7, 'NSF Yr 9'!G7, 'NSF Yr 10'!G7 )</f>
        <v>0</v>
      </c>
    </row>
    <row r="8" spans="1:7" x14ac:dyDescent="0.25">
      <c r="A8" s="189" t="s">
        <v>97</v>
      </c>
      <c r="B8" s="537" t="str">
        <f ca="1">IF(G8&gt;0,CONCATENATE((INDEX('Salary &amp; Fringe'!$A$1:$A$300,MATCH("Senior Person 5",'Salary &amp; Fringe'!$E$1:$E$300,FALSE),1))," ",(INDEX('Salary &amp; Fringe'!$B$1:$B$300,MATCH("Senior Person 5",'Salary &amp; Fringe'!$E$1:$E$300,FALSE),1))),"")</f>
        <v/>
      </c>
      <c r="C8" s="537"/>
      <c r="D8" s="190">
        <f>SUM('NSF Yr 1'!D8,'NSF Yr 2'!D8, 'NSF Yr 3'!D8, 'NSF Yr 4'!D8, 'NSF Yr 5'!D8, 'NSF Yr 6'!D8, 'NSF Yr 7'!D8, 'NSF Yr 8'!D8, 'NSF Yr 9'!D8, 'NSF Yr 10'!D8 )</f>
        <v>0</v>
      </c>
      <c r="E8" s="190">
        <f>SUM('NSF Yr 1'!E8,'NSF Yr 2'!E8, 'NSF Yr 3'!E8, 'NSF Yr 4'!E8, 'NSF Yr 5'!E8, 'NSF Yr 6'!E8, 'NSF Yr 7'!E8, 'NSF Yr 8'!E8, 'NSF Yr 9'!E8, 'NSF Yr 10'!E8 )</f>
        <v>0</v>
      </c>
      <c r="F8" s="190">
        <f>SUM('NSF Yr 1'!F8,'NSF Yr 2'!F8, 'NSF Yr 3'!F8, 'NSF Yr 4'!F8, 'NSF Yr 5'!F8, 'NSF Yr 6'!F8, 'NSF Yr 7'!F8, 'NSF Yr 8'!F8, 'NSF Yr 9'!F8, 'NSF Yr 10'!F8 )</f>
        <v>0</v>
      </c>
      <c r="G8" s="191">
        <f ca="1">SUM('NSF Yr 1'!G8,'NSF Yr 2'!G8, 'NSF Yr 3'!G8, 'NSF Yr 4'!G8, 'NSF Yr 5'!G8, 'NSF Yr 6'!G8, 'NSF Yr 7'!G8, 'NSF Yr 8'!G8, 'NSF Yr 9'!G8, 'NSF Yr 10'!G8 )</f>
        <v>0</v>
      </c>
    </row>
    <row r="9" spans="1:7" x14ac:dyDescent="0.25">
      <c r="A9" s="189" t="s">
        <v>98</v>
      </c>
      <c r="B9" s="190">
        <f>SUM('NSF Yr 1'!B9,'NSF Yr 2'!B9, 'NSF Yr 3'!B9, 'NSF Yr 4'!B9, 'NSF Yr 5'!B9, 'NSF Yr 6'!B9, 'NSF Yr 7'!B9, 'NSF Yr 8'!B9, 'NSF Yr 9'!B9, 'NSF Yr 10'!B9 )</f>
        <v>0</v>
      </c>
      <c r="C9" s="192" t="s">
        <v>100</v>
      </c>
      <c r="D9" s="190">
        <f>SUM('NSF Yr 1'!D9,'NSF Yr 2'!D9, 'NSF Yr 3'!D9, 'NSF Yr 4'!D9, 'NSF Yr 5'!D9, 'NSF Yr 6'!D9, 'NSF Yr 7'!D9, 'NSF Yr 8'!D9, 'NSF Yr 9'!D9, 'NSF Yr 10'!D9 )</f>
        <v>0</v>
      </c>
      <c r="E9" s="190">
        <f>SUM('NSF Yr 1'!E9,'NSF Yr 2'!E9, 'NSF Yr 3'!E9, 'NSF Yr 4'!E9, 'NSF Yr 5'!E9, 'NSF Yr 6'!E9, 'NSF Yr 7'!E9, 'NSF Yr 8'!E9, 'NSF Yr 9'!E9, 'NSF Yr 10'!E9 )</f>
        <v>0</v>
      </c>
      <c r="F9" s="190">
        <f>SUM('NSF Yr 1'!F9,'NSF Yr 2'!F9, 'NSF Yr 3'!F9, 'NSF Yr 4'!F9, 'NSF Yr 5'!F9, 'NSF Yr 6'!F9, 'NSF Yr 7'!F9, 'NSF Yr 8'!F9, 'NSF Yr 9'!F9, 'NSF Yr 10'!F9 )</f>
        <v>0</v>
      </c>
      <c r="G9" s="191">
        <f ca="1">SUM('NSF Yr 1'!G9,'NSF Yr 2'!G9, 'NSF Yr 3'!G9, 'NSF Yr 4'!G9, 'NSF Yr 5'!G9, 'NSF Yr 6'!G9, 'NSF Yr 7'!G9, 'NSF Yr 8'!G9, 'NSF Yr 9'!G9, 'NSF Yr 10'!G9 )</f>
        <v>0</v>
      </c>
    </row>
    <row r="10" spans="1:7" x14ac:dyDescent="0.25">
      <c r="A10" s="189" t="s">
        <v>99</v>
      </c>
      <c r="B10" s="190">
        <f ca="1">SUM('NSF Yr 1'!B10,'NSF Yr 2'!B10, 'NSF Yr 3'!B10, 'NSF Yr 4'!B10, 'NSF Yr 5'!B10, 'NSF Yr 6'!B10, 'NSF Yr 7'!B10, 'NSF Yr 8'!B10, 'NSF Yr 9'!B10, 'NSF Yr 10'!B10 )</f>
        <v>0</v>
      </c>
      <c r="C10" s="192" t="s">
        <v>128</v>
      </c>
      <c r="D10" s="190">
        <f>SUM('NSF Yr 1'!D10,'NSF Yr 2'!D10, 'NSF Yr 3'!D10, 'NSF Yr 4'!D10, 'NSF Yr 5'!D10, 'NSF Yr 6'!D10, 'NSF Yr 7'!D10, 'NSF Yr 8'!D10, 'NSF Yr 9'!D10, 'NSF Yr 10'!D10 )</f>
        <v>0</v>
      </c>
      <c r="E10" s="190">
        <f>SUM('NSF Yr 1'!E10,'NSF Yr 2'!E10, 'NSF Yr 3'!E10, 'NSF Yr 4'!E10, 'NSF Yr 5'!E10, 'NSF Yr 6'!E10, 'NSF Yr 7'!E10, 'NSF Yr 8'!E10, 'NSF Yr 9'!E10, 'NSF Yr 10'!E10 )</f>
        <v>0</v>
      </c>
      <c r="F10" s="190">
        <f>SUM('NSF Yr 1'!F10,'NSF Yr 2'!F10, 'NSF Yr 3'!F10, 'NSF Yr 4'!F10, 'NSF Yr 5'!F10, 'NSF Yr 6'!F10, 'NSF Yr 7'!F10, 'NSF Yr 8'!F10, 'NSF Yr 9'!F10, 'NSF Yr 10'!F10 )</f>
        <v>0</v>
      </c>
      <c r="G10" s="191">
        <f ca="1">SUM('NSF Yr 1'!G10,'NSF Yr 2'!G10, 'NSF Yr 3'!G10, 'NSF Yr 4'!G10, 'NSF Yr 5'!G10, 'NSF Yr 6'!G10, 'NSF Yr 7'!G10, 'NSF Yr 8'!G10, 'NSF Yr 9'!G10, 'NSF Yr 10'!G10 )</f>
        <v>0</v>
      </c>
    </row>
    <row r="11" spans="1:7" x14ac:dyDescent="0.25">
      <c r="A11" s="538" t="s">
        <v>102</v>
      </c>
      <c r="B11" s="539"/>
      <c r="C11" s="540"/>
      <c r="D11" s="193"/>
      <c r="E11" s="193"/>
      <c r="F11" s="193"/>
      <c r="G11" s="194"/>
    </row>
    <row r="12" spans="1:7" x14ac:dyDescent="0.25">
      <c r="A12" s="189" t="s">
        <v>93</v>
      </c>
      <c r="B12" s="190">
        <f>SUM('NSF Yr 1'!B12,'NSF Yr 2'!B12, 'NSF Yr 3'!B12, 'NSF Yr 4'!B12, 'NSF Yr 5'!B12, 'NSF Yr 6'!B12, 'NSF Yr 7'!B12, 'NSF Yr 8'!B12, 'NSF Yr 9'!B12, 'NSF Yr 10'!B12 )</f>
        <v>0</v>
      </c>
      <c r="C12" s="195" t="s">
        <v>103</v>
      </c>
      <c r="D12" s="190">
        <f>SUM('NSF Yr 1'!D12,'NSF Yr 2'!D12, 'NSF Yr 3'!D12, 'NSF Yr 4'!D12, 'NSF Yr 5'!D12, 'NSF Yr 6'!D12, 'NSF Yr 7'!D12, 'NSF Yr 8'!D12, 'NSF Yr 9'!D12, 'NSF Yr 10'!D12 )</f>
        <v>0</v>
      </c>
      <c r="E12" s="190">
        <f>SUM('NSF Yr 1'!E12,'NSF Yr 2'!E12, 'NSF Yr 3'!E12, 'NSF Yr 4'!E12, 'NSF Yr 5'!E12, 'NSF Yr 6'!E12, 'NSF Yr 7'!E12, 'NSF Yr 8'!E12, 'NSF Yr 9'!E12, 'NSF Yr 10'!E12 )</f>
        <v>0</v>
      </c>
      <c r="F12" s="190">
        <f>SUM('NSF Yr 1'!F12,'NSF Yr 2'!F12, 'NSF Yr 3'!F12, 'NSF Yr 4'!F12, 'NSF Yr 5'!F12, 'NSF Yr 6'!F12, 'NSF Yr 7'!F12, 'NSF Yr 8'!F12, 'NSF Yr 9'!F12, 'NSF Yr 10'!F12 )</f>
        <v>0</v>
      </c>
      <c r="G12" s="191">
        <f ca="1">SUM('NSF Yr 1'!G12,'NSF Yr 2'!G12, 'NSF Yr 3'!G12, 'NSF Yr 4'!G12, 'NSF Yr 5'!G12, 'NSF Yr 6'!G12, 'NSF Yr 7'!G12, 'NSF Yr 8'!G12, 'NSF Yr 9'!G12, 'NSF Yr 10'!G12 )</f>
        <v>0</v>
      </c>
    </row>
    <row r="13" spans="1:7" x14ac:dyDescent="0.25">
      <c r="A13" s="189" t="s">
        <v>94</v>
      </c>
      <c r="B13" s="190">
        <f>SUM('NSF Yr 1'!B13,'NSF Yr 2'!B13, 'NSF Yr 3'!B13, 'NSF Yr 4'!B13, 'NSF Yr 5'!B13, 'NSF Yr 6'!B13, 'NSF Yr 7'!B13, 'NSF Yr 8'!B13, 'NSF Yr 9'!B13, 'NSF Yr 10'!B13 )</f>
        <v>0</v>
      </c>
      <c r="C13" s="195" t="s">
        <v>104</v>
      </c>
      <c r="D13" s="190">
        <f>SUM('NSF Yr 1'!D13,'NSF Yr 2'!D13, 'NSF Yr 3'!D13, 'NSF Yr 4'!D13, 'NSF Yr 5'!D13, 'NSF Yr 6'!D13, 'NSF Yr 7'!D13, 'NSF Yr 8'!D13, 'NSF Yr 9'!D13, 'NSF Yr 10'!D13 )</f>
        <v>0</v>
      </c>
      <c r="E13" s="190">
        <f>SUM('NSF Yr 1'!E13,'NSF Yr 2'!E13, 'NSF Yr 3'!E13, 'NSF Yr 4'!E13, 'NSF Yr 5'!E13, 'NSF Yr 6'!E13, 'NSF Yr 7'!E13, 'NSF Yr 8'!E13, 'NSF Yr 9'!E13, 'NSF Yr 10'!E13 )</f>
        <v>0</v>
      </c>
      <c r="F13" s="190">
        <f>SUM('NSF Yr 1'!F13,'NSF Yr 2'!F13, 'NSF Yr 3'!F13, 'NSF Yr 4'!F13, 'NSF Yr 5'!F13, 'NSF Yr 6'!F13, 'NSF Yr 7'!F13, 'NSF Yr 8'!F13, 'NSF Yr 9'!F13, 'NSF Yr 10'!F13 )</f>
        <v>0</v>
      </c>
      <c r="G13" s="191">
        <f ca="1">SUM('NSF Yr 1'!G13,'NSF Yr 2'!G13, 'NSF Yr 3'!G13, 'NSF Yr 4'!G13, 'NSF Yr 5'!G13, 'NSF Yr 6'!G13, 'NSF Yr 7'!G13, 'NSF Yr 8'!G13, 'NSF Yr 9'!G13, 'NSF Yr 10'!G13 )</f>
        <v>0</v>
      </c>
    </row>
    <row r="14" spans="1:7" x14ac:dyDescent="0.25">
      <c r="A14" s="189" t="s">
        <v>95</v>
      </c>
      <c r="B14" s="185"/>
      <c r="C14" s="541" t="s">
        <v>105</v>
      </c>
      <c r="D14" s="541"/>
      <c r="E14" s="541"/>
      <c r="F14" s="541"/>
      <c r="G14" s="191">
        <f ca="1">SUM('NSF Yr 1'!G14,'NSF Yr 2'!G14, 'NSF Yr 3'!G14, 'NSF Yr 4'!G14, 'NSF Yr 5'!G14, 'NSF Yr 6'!G14, 'NSF Yr 7'!G14, 'NSF Yr 8'!G14, 'NSF Yr 9'!G14, 'NSF Yr 10'!G14 )</f>
        <v>0</v>
      </c>
    </row>
    <row r="15" spans="1:7" x14ac:dyDescent="0.25">
      <c r="A15" s="189" t="s">
        <v>96</v>
      </c>
      <c r="B15" s="233"/>
      <c r="C15" s="523" t="s">
        <v>106</v>
      </c>
      <c r="D15" s="523"/>
      <c r="E15" s="523"/>
      <c r="F15" s="523"/>
      <c r="G15" s="191">
        <f ca="1">SUM('NSF Yr 1'!G15,'NSF Yr 2'!G15, 'NSF Yr 3'!G15, 'NSF Yr 4'!G15, 'NSF Yr 5'!G15, 'NSF Yr 6'!G15, 'NSF Yr 7'!G15, 'NSF Yr 8'!G15, 'NSF Yr 9'!G15, 'NSF Yr 10'!G15 )</f>
        <v>0</v>
      </c>
    </row>
    <row r="16" spans="1:7" x14ac:dyDescent="0.25">
      <c r="A16" s="189" t="s">
        <v>97</v>
      </c>
      <c r="B16" s="190">
        <f>SUM('NSF Yr 1'!B16,'NSF Yr 2'!B16, 'NSF Yr 3'!B16, 'NSF Yr 4'!B16, 'NSF Yr 5'!B16, 'NSF Yr 6'!B16, 'NSF Yr 7'!B16, 'NSF Yr 8'!B16, 'NSF Yr 9'!B16, 'NSF Yr 10'!B16 )</f>
        <v>0</v>
      </c>
      <c r="C16" s="541" t="s">
        <v>107</v>
      </c>
      <c r="D16" s="541"/>
      <c r="E16" s="541"/>
      <c r="F16" s="541"/>
      <c r="G16" s="191">
        <f ca="1">SUM('NSF Yr 1'!G16,'NSF Yr 2'!G16, 'NSF Yr 3'!G16, 'NSF Yr 4'!G16, 'NSF Yr 5'!G16, 'NSF Yr 6'!G16, 'NSF Yr 7'!G16, 'NSF Yr 8'!G16, 'NSF Yr 9'!G16, 'NSF Yr 10'!G16 )</f>
        <v>0</v>
      </c>
    </row>
    <row r="17" spans="1:7" x14ac:dyDescent="0.25">
      <c r="A17" s="189" t="s">
        <v>98</v>
      </c>
      <c r="B17" s="190">
        <f>SUM('NSF Yr 1'!B17,'NSF Yr 2'!B17, 'NSF Yr 3'!B17, 'NSF Yr 4'!B17, 'NSF Yr 5'!B17, 'NSF Yr 6'!B17, 'NSF Yr 7'!B17, 'NSF Yr 8'!B17, 'NSF Yr 9'!B17, 'NSF Yr 10'!B17 )</f>
        <v>0</v>
      </c>
      <c r="C17" s="523" t="s">
        <v>53</v>
      </c>
      <c r="D17" s="523"/>
      <c r="E17" s="523"/>
      <c r="F17" s="523"/>
      <c r="G17" s="191">
        <f ca="1">SUM('NSF Yr 1'!G17,'NSF Yr 2'!G17, 'NSF Yr 3'!G17, 'NSF Yr 4'!G17, 'NSF Yr 5'!G17, 'NSF Yr 6'!G17, 'NSF Yr 7'!G17, 'NSF Yr 8'!G17, 'NSF Yr 9'!G17, 'NSF Yr 10'!G17 )</f>
        <v>0</v>
      </c>
    </row>
    <row r="18" spans="1:7" x14ac:dyDescent="0.25">
      <c r="A18" s="534" t="s">
        <v>108</v>
      </c>
      <c r="B18" s="535"/>
      <c r="C18" s="535"/>
      <c r="D18" s="535"/>
      <c r="E18" s="535"/>
      <c r="F18" s="536"/>
      <c r="G18" s="196">
        <f ca="1">Budget!Z26</f>
        <v>0</v>
      </c>
    </row>
    <row r="19" spans="1:7" x14ac:dyDescent="0.25">
      <c r="A19" s="538" t="s">
        <v>109</v>
      </c>
      <c r="B19" s="539"/>
      <c r="C19" s="539"/>
      <c r="D19" s="539"/>
      <c r="E19" s="539"/>
      <c r="F19" s="540"/>
      <c r="G19" s="191">
        <f ca="1">Budget!Z33</f>
        <v>0</v>
      </c>
    </row>
    <row r="20" spans="1:7" x14ac:dyDescent="0.25">
      <c r="A20" s="534" t="s">
        <v>110</v>
      </c>
      <c r="B20" s="535"/>
      <c r="C20" s="535"/>
      <c r="D20" s="535"/>
      <c r="E20" s="535"/>
      <c r="F20" s="536"/>
      <c r="G20" s="196">
        <f ca="1">Budget!Z34</f>
        <v>0</v>
      </c>
    </row>
    <row r="21" spans="1:7" x14ac:dyDescent="0.25">
      <c r="A21" s="514" t="s">
        <v>111</v>
      </c>
      <c r="B21" s="515"/>
      <c r="C21" s="515"/>
      <c r="D21" s="515"/>
      <c r="E21" s="515"/>
      <c r="F21" s="516"/>
      <c r="G21" s="196"/>
    </row>
    <row r="22" spans="1:7" x14ac:dyDescent="0.25">
      <c r="A22" s="526" t="str">
        <f>IF(ISBLANK(Budget!F47),"",Budget!A47)</f>
        <v/>
      </c>
      <c r="B22" s="526"/>
      <c r="C22" s="526"/>
      <c r="D22" s="533">
        <f>SUM('NSF Yr 1'!D22,'NSF Yr 2'!D22, 'NSF Yr 3'!D22, 'NSF Yr 4'!D22, 'NSF Yr 5'!D22, 'NSF Yr 6'!D22, 'NSF Yr 7'!D22, 'NSF Yr 8'!D22, 'NSF Yr 9'!D22, 'NSF Yr 10'!D22 )</f>
        <v>0</v>
      </c>
      <c r="E22" s="533"/>
      <c r="F22" s="533"/>
      <c r="G22" s="197"/>
    </row>
    <row r="23" spans="1:7" x14ac:dyDescent="0.25">
      <c r="A23" s="526" t="str">
        <f>IF(ISBLANK(Budget!F48),"",Budget!A48)</f>
        <v/>
      </c>
      <c r="B23" s="526"/>
      <c r="C23" s="526"/>
      <c r="D23" s="533">
        <f>SUM('NSF Yr 1'!D23,'NSF Yr 2'!D23, 'NSF Yr 3'!D23, 'NSF Yr 4'!D23, 'NSF Yr 5'!D23, 'NSF Yr 6'!D23, 'NSF Yr 7'!D23, 'NSF Yr 8'!D23, 'NSF Yr 9'!D23, 'NSF Yr 10'!D23 )</f>
        <v>0</v>
      </c>
      <c r="E23" s="533"/>
      <c r="F23" s="533"/>
      <c r="G23" s="198"/>
    </row>
    <row r="24" spans="1:7" x14ac:dyDescent="0.25">
      <c r="A24" s="526" t="str">
        <f>IF(ISBLANK(Budget!F49),"",Budget!A49)</f>
        <v/>
      </c>
      <c r="B24" s="526"/>
      <c r="C24" s="526"/>
      <c r="D24" s="533">
        <f>SUM('NSF Yr 1'!D24,'NSF Yr 2'!D24, 'NSF Yr 3'!D24, 'NSF Yr 4'!D24, 'NSF Yr 5'!D24, 'NSF Yr 6'!D24, 'NSF Yr 7'!D24, 'NSF Yr 8'!D24, 'NSF Yr 9'!D24, 'NSF Yr 10'!D24 )</f>
        <v>0</v>
      </c>
      <c r="E24" s="533"/>
      <c r="F24" s="533"/>
      <c r="G24" s="198"/>
    </row>
    <row r="25" spans="1:7" x14ac:dyDescent="0.25">
      <c r="A25" s="526" t="str">
        <f>IF(ISBLANK(Budget!F50),"",Budget!A50)</f>
        <v/>
      </c>
      <c r="B25" s="526"/>
      <c r="C25" s="526"/>
      <c r="D25" s="533">
        <f>SUM('NSF Yr 1'!D25,'NSF Yr 2'!D25, 'NSF Yr 3'!D25, 'NSF Yr 4'!D25, 'NSF Yr 5'!D25, 'NSF Yr 6'!D25, 'NSF Yr 7'!D25, 'NSF Yr 8'!D25, 'NSF Yr 9'!D25, 'NSF Yr 10'!D25 )</f>
        <v>0</v>
      </c>
      <c r="E25" s="533"/>
      <c r="F25" s="533"/>
      <c r="G25" s="198"/>
    </row>
    <row r="26" spans="1:7" x14ac:dyDescent="0.25">
      <c r="A26" s="526" t="str">
        <f>IF(ISBLANK(Budget!F51),"",Budget!A51)</f>
        <v/>
      </c>
      <c r="B26" s="526"/>
      <c r="C26" s="526"/>
      <c r="D26" s="533">
        <f>SUM('NSF Yr 1'!D26,'NSF Yr 2'!D26, 'NSF Yr 3'!D26, 'NSF Yr 4'!D26, 'NSF Yr 5'!D26, 'NSF Yr 6'!D26, 'NSF Yr 7'!D26, 'NSF Yr 8'!D26, 'NSF Yr 9'!D26, 'NSF Yr 10'!D26 )</f>
        <v>0</v>
      </c>
      <c r="E26" s="533"/>
      <c r="F26" s="533"/>
      <c r="G26" s="198"/>
    </row>
    <row r="27" spans="1:7" x14ac:dyDescent="0.25">
      <c r="A27" s="534" t="s">
        <v>58</v>
      </c>
      <c r="B27" s="535"/>
      <c r="C27" s="535"/>
      <c r="D27" s="535"/>
      <c r="E27" s="535"/>
      <c r="F27" s="536"/>
      <c r="G27" s="191">
        <f>Budget!Z52</f>
        <v>0</v>
      </c>
    </row>
    <row r="28" spans="1:7" x14ac:dyDescent="0.25">
      <c r="A28" s="525" t="s">
        <v>112</v>
      </c>
      <c r="B28" s="525"/>
      <c r="C28" s="525"/>
      <c r="D28" s="525"/>
      <c r="E28" s="525"/>
      <c r="F28" s="525"/>
      <c r="G28" s="199"/>
    </row>
    <row r="29" spans="1:7" x14ac:dyDescent="0.25">
      <c r="A29" s="526" t="s">
        <v>203</v>
      </c>
      <c r="B29" s="526"/>
      <c r="C29" s="526"/>
      <c r="D29" s="526"/>
      <c r="E29" s="526"/>
      <c r="F29" s="526"/>
      <c r="G29" s="191">
        <f>Budget!Z39</f>
        <v>0</v>
      </c>
    </row>
    <row r="30" spans="1:7" x14ac:dyDescent="0.25">
      <c r="A30" s="527" t="s">
        <v>113</v>
      </c>
      <c r="B30" s="527"/>
      <c r="C30" s="527"/>
      <c r="D30" s="527"/>
      <c r="E30" s="527"/>
      <c r="F30" s="527"/>
      <c r="G30" s="191">
        <f>Budget!Z44</f>
        <v>0</v>
      </c>
    </row>
    <row r="31" spans="1:7" x14ac:dyDescent="0.25">
      <c r="A31" s="514" t="s">
        <v>114</v>
      </c>
      <c r="B31" s="515"/>
      <c r="C31" s="515"/>
      <c r="D31" s="528"/>
      <c r="E31" s="528"/>
      <c r="F31" s="529"/>
      <c r="G31" s="200"/>
    </row>
    <row r="32" spans="1:7" x14ac:dyDescent="0.25">
      <c r="A32" s="523" t="s">
        <v>115</v>
      </c>
      <c r="B32" s="523"/>
      <c r="C32" s="191">
        <f>SUM('NSF Yr 1'!C32,'NSF Yr 2'!C32, 'NSF Yr 3'!C32, 'NSF Yr 4'!C32, 'NSF Yr 5'!C32, 'NSF Yr 6'!C32, 'NSF Yr 7'!C32, 'NSF Yr 8'!C32, 'NSF Yr 9'!C32, 'NSF Yr 10'!C32 )</f>
        <v>0</v>
      </c>
      <c r="D32" s="201"/>
      <c r="E32" s="202"/>
      <c r="F32" s="202"/>
      <c r="G32" s="203"/>
    </row>
    <row r="33" spans="1:7" x14ac:dyDescent="0.25">
      <c r="A33" s="523" t="s">
        <v>116</v>
      </c>
      <c r="B33" s="523"/>
      <c r="C33" s="191">
        <f>SUM('NSF Yr 1'!C33,'NSF Yr 2'!C33, 'NSF Yr 3'!C33, 'NSF Yr 4'!C33, 'NSF Yr 5'!C33, 'NSF Yr 6'!C33, 'NSF Yr 7'!C33, 'NSF Yr 8'!C33, 'NSF Yr 9'!C33, 'NSF Yr 10'!C33 )</f>
        <v>0</v>
      </c>
      <c r="D33" s="204"/>
      <c r="E33" s="205"/>
      <c r="F33" s="205"/>
      <c r="G33" s="203"/>
    </row>
    <row r="34" spans="1:7" x14ac:dyDescent="0.25">
      <c r="A34" s="523" t="s">
        <v>117</v>
      </c>
      <c r="B34" s="523"/>
      <c r="C34" s="191">
        <f>SUM('NSF Yr 1'!C34,'NSF Yr 2'!C34, 'NSF Yr 3'!C34, 'NSF Yr 4'!C34, 'NSF Yr 5'!C34, 'NSF Yr 6'!C34, 'NSF Yr 7'!C34, 'NSF Yr 8'!C34, 'NSF Yr 9'!C34, 'NSF Yr 10'!C34 )</f>
        <v>0</v>
      </c>
      <c r="D34" s="204"/>
      <c r="E34" s="205"/>
      <c r="F34" s="205"/>
      <c r="G34" s="203"/>
    </row>
    <row r="35" spans="1:7" x14ac:dyDescent="0.25">
      <c r="A35" s="523" t="s">
        <v>118</v>
      </c>
      <c r="B35" s="523"/>
      <c r="C35" s="191">
        <f>SUM('NSF Yr 1'!C35,'NSF Yr 2'!C35, 'NSF Yr 3'!C35, 'NSF Yr 4'!C35, 'NSF Yr 5'!C35, 'NSF Yr 6'!C35, 'NSF Yr 7'!C35, 'NSF Yr 8'!C35, 'NSF Yr 9'!C35, 'NSF Yr 10'!C35 )</f>
        <v>0</v>
      </c>
      <c r="D35" s="206"/>
      <c r="E35" s="207"/>
      <c r="F35" s="207"/>
      <c r="G35" s="208"/>
    </row>
    <row r="36" spans="1:7" x14ac:dyDescent="0.25">
      <c r="A36" s="503"/>
      <c r="B36" s="504"/>
      <c r="C36" s="530" t="s">
        <v>59</v>
      </c>
      <c r="D36" s="531"/>
      <c r="E36" s="531"/>
      <c r="F36" s="532"/>
      <c r="G36" s="191">
        <f>Budget!Z57</f>
        <v>0</v>
      </c>
    </row>
    <row r="37" spans="1:7" x14ac:dyDescent="0.25">
      <c r="A37" s="525" t="s">
        <v>119</v>
      </c>
      <c r="B37" s="525"/>
      <c r="C37" s="525"/>
      <c r="D37" s="525"/>
      <c r="E37" s="525"/>
      <c r="F37" s="525"/>
      <c r="G37" s="199"/>
    </row>
    <row r="38" spans="1:7" x14ac:dyDescent="0.25">
      <c r="A38" s="523" t="s">
        <v>120</v>
      </c>
      <c r="B38" s="523"/>
      <c r="C38" s="523"/>
      <c r="D38" s="523"/>
      <c r="E38" s="523"/>
      <c r="F38" s="523"/>
      <c r="G38" s="191">
        <f>SUM('NSF Yr 1'!G38,'NSF Yr 2'!G38, 'NSF Yr 3'!G38, 'NSF Yr 4'!G38, 'NSF Yr 5'!G38, 'NSF Yr 6'!G38, 'NSF Yr 7'!G38, 'NSF Yr 8'!G38, 'NSF Yr 9'!G38, 'NSF Yr 10'!G38 )</f>
        <v>0</v>
      </c>
    </row>
    <row r="39" spans="1:7" x14ac:dyDescent="0.25">
      <c r="A39" s="523" t="s">
        <v>121</v>
      </c>
      <c r="B39" s="523"/>
      <c r="C39" s="523"/>
      <c r="D39" s="523"/>
      <c r="E39" s="523"/>
      <c r="F39" s="523"/>
      <c r="G39" s="191">
        <f>SUM('NSF Yr 1'!G39,'NSF Yr 2'!G39, 'NSF Yr 3'!G39, 'NSF Yr 4'!G39, 'NSF Yr 5'!G39, 'NSF Yr 6'!G39, 'NSF Yr 7'!G39, 'NSF Yr 8'!G39, 'NSF Yr 9'!G39, 'NSF Yr 10'!G39 )</f>
        <v>0</v>
      </c>
    </row>
    <row r="40" spans="1:7" x14ac:dyDescent="0.25">
      <c r="A40" s="523" t="s">
        <v>122</v>
      </c>
      <c r="B40" s="523"/>
      <c r="C40" s="523"/>
      <c r="D40" s="523"/>
      <c r="E40" s="523"/>
      <c r="F40" s="523"/>
      <c r="G40" s="191">
        <f>SUM('NSF Yr 1'!G40,'NSF Yr 2'!G40, 'NSF Yr 3'!G40, 'NSF Yr 4'!G40, 'NSF Yr 5'!G40, 'NSF Yr 6'!G40, 'NSF Yr 7'!G40, 'NSF Yr 8'!G40, 'NSF Yr 9'!G40, 'NSF Yr 10'!G40 )</f>
        <v>0</v>
      </c>
    </row>
    <row r="41" spans="1:7" x14ac:dyDescent="0.25">
      <c r="A41" s="523" t="s">
        <v>123</v>
      </c>
      <c r="B41" s="523"/>
      <c r="C41" s="523"/>
      <c r="D41" s="523"/>
      <c r="E41" s="523"/>
      <c r="F41" s="523"/>
      <c r="G41" s="191">
        <f>SUM('NSF Yr 1'!G41,'NSF Yr 2'!G41, 'NSF Yr 3'!G41, 'NSF Yr 4'!G41, 'NSF Yr 5'!G41, 'NSF Yr 6'!G41, 'NSF Yr 7'!G41, 'NSF Yr 8'!G41, 'NSF Yr 9'!G41, 'NSF Yr 10'!G41 )</f>
        <v>0</v>
      </c>
    </row>
    <row r="42" spans="1:7" x14ac:dyDescent="0.25">
      <c r="A42" s="523" t="s">
        <v>124</v>
      </c>
      <c r="B42" s="523"/>
      <c r="C42" s="523"/>
      <c r="D42" s="523"/>
      <c r="E42" s="523"/>
      <c r="F42" s="523"/>
      <c r="G42" s="191">
        <f ca="1">SUM('NSF Yr 1'!G42,'NSF Yr 2'!G42, 'NSF Yr 3'!G42, 'NSF Yr 4'!G42, 'NSF Yr 5'!G42, 'NSF Yr 6'!G42, 'NSF Yr 7'!G42, 'NSF Yr 8'!G42, 'NSF Yr 9'!G42, 'NSF Yr 10'!G42 )</f>
        <v>0</v>
      </c>
    </row>
    <row r="43" spans="1:7" x14ac:dyDescent="0.25">
      <c r="A43" s="523" t="s">
        <v>125</v>
      </c>
      <c r="B43" s="523"/>
      <c r="C43" s="523"/>
      <c r="D43" s="523"/>
      <c r="E43" s="523"/>
      <c r="F43" s="523"/>
      <c r="G43" s="191">
        <f>SUM('NSF Yr 1'!G43,'NSF Yr 2'!G43, 'NSF Yr 3'!G43, 'NSF Yr 4'!G43, 'NSF Yr 5'!G43, 'NSF Yr 6'!G43, 'NSF Yr 7'!G43, 'NSF Yr 8'!G43, 'NSF Yr 9'!G43, 'NSF Yr 10'!G43 )</f>
        <v>0</v>
      </c>
    </row>
    <row r="44" spans="1:7" x14ac:dyDescent="0.25">
      <c r="A44" s="524" t="s">
        <v>127</v>
      </c>
      <c r="B44" s="524"/>
      <c r="C44" s="524"/>
      <c r="D44" s="524"/>
      <c r="E44" s="524"/>
      <c r="F44" s="524"/>
      <c r="G44" s="196">
        <f ca="1">SUM(G38:G43)</f>
        <v>0</v>
      </c>
    </row>
    <row r="45" spans="1:7" x14ac:dyDescent="0.25">
      <c r="A45" s="525" t="s">
        <v>126</v>
      </c>
      <c r="B45" s="525"/>
      <c r="C45" s="525"/>
      <c r="D45" s="525"/>
      <c r="E45" s="525"/>
      <c r="F45" s="525"/>
      <c r="G45" s="196">
        <f ca="1">Budget!Z99</f>
        <v>0</v>
      </c>
    </row>
    <row r="46" spans="1:7" x14ac:dyDescent="0.25">
      <c r="A46" s="511" t="s">
        <v>129</v>
      </c>
      <c r="B46" s="512"/>
      <c r="C46" s="512"/>
      <c r="D46" s="512"/>
      <c r="E46" s="512"/>
      <c r="F46" s="513"/>
      <c r="G46" s="199"/>
    </row>
    <row r="47" spans="1:7" x14ac:dyDescent="0.25">
      <c r="A47" s="209"/>
      <c r="B47" s="209"/>
      <c r="C47" s="210"/>
      <c r="D47" s="211"/>
      <c r="E47" s="212"/>
      <c r="F47" s="209"/>
      <c r="G47" s="191">
        <f ca="1">Budget!Z109</f>
        <v>0</v>
      </c>
    </row>
    <row r="48" spans="1:7" x14ac:dyDescent="0.25">
      <c r="A48" s="514" t="s">
        <v>131</v>
      </c>
      <c r="B48" s="515"/>
      <c r="C48" s="515"/>
      <c r="D48" s="515"/>
      <c r="E48" s="515"/>
      <c r="F48" s="516"/>
      <c r="G48" s="196">
        <f ca="1">G45+G47</f>
        <v>0</v>
      </c>
    </row>
    <row r="49" spans="1:7" x14ac:dyDescent="0.25">
      <c r="A49" s="517" t="s">
        <v>213</v>
      </c>
      <c r="B49" s="518"/>
      <c r="C49" s="518"/>
      <c r="D49" s="518"/>
      <c r="E49" s="518"/>
      <c r="F49" s="519"/>
      <c r="G49" s="141"/>
    </row>
    <row r="50" spans="1:7" x14ac:dyDescent="0.25">
      <c r="A50" s="520" t="s">
        <v>132</v>
      </c>
      <c r="B50" s="521"/>
      <c r="C50" s="521"/>
      <c r="D50" s="521"/>
      <c r="E50" s="521"/>
      <c r="F50" s="522"/>
      <c r="G50" s="213">
        <f ca="1">Budget!Z111</f>
        <v>0</v>
      </c>
    </row>
  </sheetData>
  <sheetProtection algorithmName="SHA-512" hashValue="5bemeigMAAa5f8cfeaUSk5w8DGkymgYQrG7AgYtTSfhgWtMxm+agsEG2KdIXiIFutivQn/48RnWsyBnkk3/ghA==" saltValue="FPifbGIGeb0F3vnjjVtfRA==" spinCount="100000" sheet="1" objects="1" scenarios="1"/>
  <mergeCells count="52">
    <mergeCell ref="B5:C5"/>
    <mergeCell ref="A1:G1"/>
    <mergeCell ref="A2:C3"/>
    <mergeCell ref="D2:F2"/>
    <mergeCell ref="G2:G3"/>
    <mergeCell ref="B4:C4"/>
    <mergeCell ref="A21:F21"/>
    <mergeCell ref="B6:C6"/>
    <mergeCell ref="B7:C7"/>
    <mergeCell ref="B8:C8"/>
    <mergeCell ref="A11:C11"/>
    <mergeCell ref="C14:F14"/>
    <mergeCell ref="C15:F15"/>
    <mergeCell ref="C16:F16"/>
    <mergeCell ref="C17:F17"/>
    <mergeCell ref="A18:F18"/>
    <mergeCell ref="A19:F19"/>
    <mergeCell ref="A20:F20"/>
    <mergeCell ref="A28:F28"/>
    <mergeCell ref="A22:C22"/>
    <mergeCell ref="D22:F22"/>
    <mergeCell ref="A23:C23"/>
    <mergeCell ref="D23:F23"/>
    <mergeCell ref="A24:C24"/>
    <mergeCell ref="D24:F24"/>
    <mergeCell ref="A25:C25"/>
    <mergeCell ref="D25:F25"/>
    <mergeCell ref="A26:C26"/>
    <mergeCell ref="D26:F26"/>
    <mergeCell ref="A27:F27"/>
    <mergeCell ref="A39:F39"/>
    <mergeCell ref="A29:F29"/>
    <mergeCell ref="A30:F30"/>
    <mergeCell ref="A31:F31"/>
    <mergeCell ref="A32:B32"/>
    <mergeCell ref="A33:B33"/>
    <mergeCell ref="A34:B34"/>
    <mergeCell ref="A35:B35"/>
    <mergeCell ref="A36:B36"/>
    <mergeCell ref="C36:F36"/>
    <mergeCell ref="A37:F37"/>
    <mergeCell ref="A38:F38"/>
    <mergeCell ref="A46:F46"/>
    <mergeCell ref="A48:F48"/>
    <mergeCell ref="A49:F49"/>
    <mergeCell ref="A50:F50"/>
    <mergeCell ref="A40:F40"/>
    <mergeCell ref="A41:F41"/>
    <mergeCell ref="A42:F42"/>
    <mergeCell ref="A43:F43"/>
    <mergeCell ref="A44:F44"/>
    <mergeCell ref="A45:F45"/>
  </mergeCells>
  <phoneticPr fontId="9" type="noConversion"/>
  <pageMargins left="0.75" right="0.75" top="1" bottom="1" header="0.5" footer="0.5"/>
  <pageSetup scale="80" orientation="portrait" horizontalDpi="4294967292" verticalDpi="4294967292"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L83"/>
  <sheetViews>
    <sheetView workbookViewId="0">
      <selection activeCell="B46" sqref="B46"/>
    </sheetView>
  </sheetViews>
  <sheetFormatPr defaultColWidth="10.625" defaultRowHeight="15.75" x14ac:dyDescent="0.25"/>
  <cols>
    <col min="1" max="1" width="30.875" style="209" customWidth="1"/>
    <col min="2" max="8" width="10.875" style="209" customWidth="1"/>
    <col min="9" max="9" width="14.875" style="209" customWidth="1"/>
    <col min="10" max="10" width="15" style="209" customWidth="1"/>
    <col min="11" max="11" width="14.875" style="211" customWidth="1"/>
    <col min="12" max="16384" width="10.625" style="209"/>
  </cols>
  <sheetData>
    <row r="1" spans="1:11" x14ac:dyDescent="0.25">
      <c r="A1" s="265" t="s">
        <v>347</v>
      </c>
    </row>
    <row r="2" spans="1:11" ht="14.1" customHeight="1" x14ac:dyDescent="0.25"/>
    <row r="3" spans="1:11" x14ac:dyDescent="0.25">
      <c r="A3" s="265" t="s">
        <v>297</v>
      </c>
    </row>
    <row r="4" spans="1:11" s="268" customFormat="1" ht="15" x14ac:dyDescent="0.25">
      <c r="A4" s="266" t="s">
        <v>11</v>
      </c>
      <c r="B4" s="267" t="s">
        <v>363</v>
      </c>
      <c r="C4" s="267" t="s">
        <v>332</v>
      </c>
      <c r="D4" s="267" t="s">
        <v>333</v>
      </c>
      <c r="E4" s="267" t="s">
        <v>334</v>
      </c>
      <c r="F4" s="267" t="s">
        <v>335</v>
      </c>
      <c r="G4" s="267" t="s">
        <v>336</v>
      </c>
      <c r="H4" s="267" t="s">
        <v>337</v>
      </c>
      <c r="I4" s="267" t="s">
        <v>338</v>
      </c>
      <c r="J4" s="267" t="s">
        <v>339</v>
      </c>
      <c r="K4" s="267" t="s">
        <v>340</v>
      </c>
    </row>
    <row r="5" spans="1:11" s="272" customFormat="1" ht="15" x14ac:dyDescent="0.25">
      <c r="A5" s="269" t="str">
        <f>IF(B5&gt;0,(INDEX('Salary &amp; Fringe'!$A$1:$A$300,MATCH("Senior Person 1",'Salary &amp; Fringe'!$E$1:$E$300,FALSE),1)),"")</f>
        <v/>
      </c>
      <c r="B5" s="270">
        <f>IFERROR(IF(F5&gt;0, C5, D5+E5),0)</f>
        <v>0</v>
      </c>
      <c r="C5" s="270">
        <f>IFERROR(IF(F5&gt;0, (I5/SUM(F5:H5)*12),0),0)</f>
        <v>0</v>
      </c>
      <c r="D5" s="270">
        <f>IFERROR(IF($C5=0, (I5/SUM(F5:H5)*9),0),0)</f>
        <v>0</v>
      </c>
      <c r="E5" s="270">
        <f>IFERROR(IF($C5=0, (I5/SUM(F5:H5)*3),0),0)</f>
        <v>0</v>
      </c>
      <c r="F5" s="271">
        <f>SUMIFS('Salary &amp; Fringe'!$M$1:'Salary &amp; Fringe'!$M$300,'Salary &amp; Fringe'!$E$1:'Salary &amp; Fringe'!$E$300,"Senior Person 1",'Salary &amp; Fringe'!$F$1:'Salary &amp; Fringe'!$F$300,"Calendar*")</f>
        <v>0</v>
      </c>
      <c r="G5" s="271">
        <f>SUMIFS('Salary &amp; Fringe'!$M$1:'Salary &amp; Fringe'!$M$300,'Salary &amp; Fringe'!$E$1:'Salary &amp; Fringe'!$E$300,"Senior Person 1",'Salary &amp; Fringe'!$F$1:'Salary &amp; Fringe'!$F$300,"Academic")</f>
        <v>0</v>
      </c>
      <c r="H5" s="271">
        <f>SUMIFS('Salary &amp; Fringe'!$M$1:'Salary &amp; Fringe'!$M$300,'Salary &amp; Fringe'!$E$1:'Salary &amp; Fringe'!$E$300,"Senior Person 1",'Salary &amp; Fringe'!$F$1:'Salary &amp; Fringe'!$F$300,"Summer")</f>
        <v>0</v>
      </c>
      <c r="I5" s="270">
        <f>SUMIF('Salary &amp; Fringe'!$E$1:$E$300,"Senior Person 1",'Salary &amp; Fringe'!$W$1:$W$300)</f>
        <v>0</v>
      </c>
      <c r="J5" s="270">
        <f>SUMIF('Salary &amp; Fringe'!$E$1:$E$300,"Senior Person 1",'Salary &amp; Fringe'!$AG$1:$AG$300)</f>
        <v>0</v>
      </c>
      <c r="K5" s="270">
        <f>I5+J5</f>
        <v>0</v>
      </c>
    </row>
    <row r="6" spans="1:11" s="272" customFormat="1" ht="15" x14ac:dyDescent="0.25">
      <c r="A6" s="269" t="str">
        <f>IF(B6&gt;0,(INDEX('Salary &amp; Fringe'!$A$1:$A$300,MATCH("Senior Person 2",'Salary &amp; Fringe'!$E$1:$E$300,FALSE),1)),"")</f>
        <v/>
      </c>
      <c r="B6" s="270">
        <f t="shared" ref="B6:B9" si="0">IFERROR(IF(F6&gt;0, C6, D6+E6),0)</f>
        <v>0</v>
      </c>
      <c r="C6" s="270">
        <f t="shared" ref="C6:C9" si="1">IFERROR(IF(F6&gt;0, (I6/SUM(F6:H6)*12),0),0)</f>
        <v>0</v>
      </c>
      <c r="D6" s="270">
        <f t="shared" ref="D6:D9" si="2">IFERROR(IF($C6=0, (I6/SUM(F6:H6)*9),0),0)</f>
        <v>0</v>
      </c>
      <c r="E6" s="270">
        <f t="shared" ref="E6:E9" si="3">IFERROR(IF($C6=0, (I6/SUM(F6:H6)*3),0),0)</f>
        <v>0</v>
      </c>
      <c r="F6" s="271">
        <f>SUMIFS('Salary &amp; Fringe'!$M$1:'Salary &amp; Fringe'!$M$300,'Salary &amp; Fringe'!$E$1:'Salary &amp; Fringe'!$E$300,"Senior Person 2",'Salary &amp; Fringe'!$F$1:'Salary &amp; Fringe'!$F$300,"Calendar*")</f>
        <v>0</v>
      </c>
      <c r="G6" s="271">
        <f>SUMIFS('Salary &amp; Fringe'!$M$1:'Salary &amp; Fringe'!$M$300,'Salary &amp; Fringe'!$E$1:'Salary &amp; Fringe'!$E$300,"Senior Person 2",'Salary &amp; Fringe'!$F$1:'Salary &amp; Fringe'!$F$300,"Academic")</f>
        <v>0</v>
      </c>
      <c r="H6" s="271">
        <f>SUMIFS('Salary &amp; Fringe'!$M$1:'Salary &amp; Fringe'!$M$300,'Salary &amp; Fringe'!$E$1:'Salary &amp; Fringe'!$E$300,"Senior Person 2",'Salary &amp; Fringe'!$F$1:'Salary &amp; Fringe'!$F$300,"Summer")</f>
        <v>0</v>
      </c>
      <c r="I6" s="270">
        <f>SUMIF('Salary &amp; Fringe'!$E$1:$E$300,"Senior Person 2",'Salary &amp; Fringe'!$W$1:$W$300)</f>
        <v>0</v>
      </c>
      <c r="J6" s="270">
        <f>SUMIF('Salary &amp; Fringe'!$E$1:$E$300,"Senior Person 2",'Salary &amp; Fringe'!$AG$1:$AG$300)</f>
        <v>0</v>
      </c>
      <c r="K6" s="270">
        <f t="shared" ref="K6:K10" si="4">I6+J6</f>
        <v>0</v>
      </c>
    </row>
    <row r="7" spans="1:11" s="272" customFormat="1" ht="15" x14ac:dyDescent="0.25">
      <c r="A7" s="269" t="str">
        <f>IF(B7&gt;0,(INDEX('Salary &amp; Fringe'!$A$1:$A$300,MATCH("Senior Person 3",'Salary &amp; Fringe'!$E$1:$E$300,FALSE),1)),"")</f>
        <v/>
      </c>
      <c r="B7" s="270">
        <f t="shared" si="0"/>
        <v>0</v>
      </c>
      <c r="C7" s="270">
        <f t="shared" si="1"/>
        <v>0</v>
      </c>
      <c r="D7" s="270">
        <f t="shared" si="2"/>
        <v>0</v>
      </c>
      <c r="E7" s="270">
        <f t="shared" si="3"/>
        <v>0</v>
      </c>
      <c r="F7" s="271">
        <f>SUMIFS('Salary &amp; Fringe'!$M$1:'Salary &amp; Fringe'!$M$300,'Salary &amp; Fringe'!$E$1:'Salary &amp; Fringe'!$E$300,"Senior Person 3",'Salary &amp; Fringe'!$F$1:'Salary &amp; Fringe'!$F$300,"Calendar*")</f>
        <v>0</v>
      </c>
      <c r="G7" s="271">
        <f>SUMIFS('Salary &amp; Fringe'!$M$1:'Salary &amp; Fringe'!$M$300,'Salary &amp; Fringe'!$E$1:'Salary &amp; Fringe'!$E$300,"Senior Person 3",'Salary &amp; Fringe'!$F$1:'Salary &amp; Fringe'!$F$300,"Academic")</f>
        <v>0</v>
      </c>
      <c r="H7" s="271">
        <f>SUMIFS('Salary &amp; Fringe'!$M$1:'Salary &amp; Fringe'!$M$300,'Salary &amp; Fringe'!$E$1:'Salary &amp; Fringe'!$E$300,"Senior Person 3",'Salary &amp; Fringe'!$F$1:'Salary &amp; Fringe'!$F$300,"Summer")</f>
        <v>0</v>
      </c>
      <c r="I7" s="270">
        <f>SUMIF('Salary &amp; Fringe'!$E$1:$E$300,"Senior Person 3",'Salary &amp; Fringe'!$W$1:$W$300)</f>
        <v>0</v>
      </c>
      <c r="J7" s="270">
        <f>SUMIF('Salary &amp; Fringe'!$E$1:$E$300,"Senior Person 3",'Salary &amp; Fringe'!$AG$1:$AG$300)</f>
        <v>0</v>
      </c>
      <c r="K7" s="270">
        <f t="shared" si="4"/>
        <v>0</v>
      </c>
    </row>
    <row r="8" spans="1:11" s="272" customFormat="1" ht="15" x14ac:dyDescent="0.25">
      <c r="A8" s="269" t="str">
        <f>IF(B8&gt;0,(INDEX('Salary &amp; Fringe'!$A$1:$A$300,MATCH("Senior Person 4",'Salary &amp; Fringe'!$E$1:$E$300,FALSE),1)),"")</f>
        <v/>
      </c>
      <c r="B8" s="270">
        <f t="shared" si="0"/>
        <v>0</v>
      </c>
      <c r="C8" s="270">
        <f t="shared" si="1"/>
        <v>0</v>
      </c>
      <c r="D8" s="270">
        <f t="shared" si="2"/>
        <v>0</v>
      </c>
      <c r="E8" s="270">
        <f t="shared" si="3"/>
        <v>0</v>
      </c>
      <c r="F8" s="271">
        <f>SUMIFS('Salary &amp; Fringe'!$M$1:'Salary &amp; Fringe'!$M$300,'Salary &amp; Fringe'!$E$1:'Salary &amp; Fringe'!$E$300,"Senior Person 4",'Salary &amp; Fringe'!$F$1:'Salary &amp; Fringe'!$F$300,"Calendar*")</f>
        <v>0</v>
      </c>
      <c r="G8" s="271">
        <f>SUMIFS('Salary &amp; Fringe'!$M$1:'Salary &amp; Fringe'!$M$300,'Salary &amp; Fringe'!$E$1:'Salary &amp; Fringe'!$E$300,"Senior Person 4",'Salary &amp; Fringe'!$F$1:'Salary &amp; Fringe'!$F$300,"Academic")</f>
        <v>0</v>
      </c>
      <c r="H8" s="271">
        <f>SUMIFS('Salary &amp; Fringe'!$M$1:'Salary &amp; Fringe'!$M$300,'Salary &amp; Fringe'!$E$1:'Salary &amp; Fringe'!$E$300,"Senior Person 4",'Salary &amp; Fringe'!$F$1:'Salary &amp; Fringe'!$F$300,"Summer")</f>
        <v>0</v>
      </c>
      <c r="I8" s="270">
        <f>SUMIF('Salary &amp; Fringe'!$E$1:$E$300,"Senior Person 4",'Salary &amp; Fringe'!$W$1:$W$300)</f>
        <v>0</v>
      </c>
      <c r="J8" s="270">
        <f>SUMIF('Salary &amp; Fringe'!$E$1:$E$300,"Senior Person 4",'Salary &amp; Fringe'!$AG$1:$AG$300)</f>
        <v>0</v>
      </c>
      <c r="K8" s="270">
        <f t="shared" si="4"/>
        <v>0</v>
      </c>
    </row>
    <row r="9" spans="1:11" s="272" customFormat="1" ht="15" x14ac:dyDescent="0.25">
      <c r="A9" s="269" t="str">
        <f>IF(B9&gt;0,(INDEX('Salary &amp; Fringe'!$A$1:$A$300,MATCH("Senior Person 5",'Salary &amp; Fringe'!$E$1:$E$300,FALSE),1)),"")</f>
        <v/>
      </c>
      <c r="B9" s="270">
        <f t="shared" si="0"/>
        <v>0</v>
      </c>
      <c r="C9" s="270">
        <f t="shared" si="1"/>
        <v>0</v>
      </c>
      <c r="D9" s="270">
        <f t="shared" si="2"/>
        <v>0</v>
      </c>
      <c r="E9" s="270">
        <f t="shared" si="3"/>
        <v>0</v>
      </c>
      <c r="F9" s="271">
        <f>SUMIFS('Salary &amp; Fringe'!$M$1:'Salary &amp; Fringe'!$M$300,'Salary &amp; Fringe'!$E$1:'Salary &amp; Fringe'!$E$300,"Senior Person 5",'Salary &amp; Fringe'!$F$1:'Salary &amp; Fringe'!$F$300,"Calendar*")</f>
        <v>0</v>
      </c>
      <c r="G9" s="271">
        <f>SUMIFS('Salary &amp; Fringe'!$M$1:'Salary &amp; Fringe'!$M$300,'Salary &amp; Fringe'!$E$1:'Salary &amp; Fringe'!$E$300,"Senior Person 5",'Salary &amp; Fringe'!$F$1:'Salary &amp; Fringe'!$F$300,"Academic")</f>
        <v>0</v>
      </c>
      <c r="H9" s="271">
        <f>SUMIFS('Salary &amp; Fringe'!$M$1:'Salary &amp; Fringe'!$M$300,'Salary &amp; Fringe'!$E$1:'Salary &amp; Fringe'!$E$300,"Senior Person 5",'Salary &amp; Fringe'!$F$1:'Salary &amp; Fringe'!$F$300,"Summer")</f>
        <v>0</v>
      </c>
      <c r="I9" s="270">
        <f>SUMIF('Salary &amp; Fringe'!$E$1:$E$300,"Senior Person 5",'Salary &amp; Fringe'!$W$1:$W$300)</f>
        <v>0</v>
      </c>
      <c r="J9" s="270">
        <f>SUMIF('Salary &amp; Fringe'!$E$1:$E$300,"Senior Person 5",'Salary &amp; Fringe'!$AG$1:$AG$300)</f>
        <v>0</v>
      </c>
      <c r="K9" s="270">
        <f t="shared" si="4"/>
        <v>0</v>
      </c>
    </row>
    <row r="10" spans="1:11" s="272" customFormat="1" ht="15.95" customHeight="1" thickBot="1" x14ac:dyDescent="0.3">
      <c r="A10" s="273"/>
      <c r="B10" s="274"/>
      <c r="C10" s="274"/>
      <c r="D10" s="274"/>
      <c r="E10" s="274"/>
      <c r="F10" s="563" t="s">
        <v>366</v>
      </c>
      <c r="G10" s="565"/>
      <c r="H10" s="566"/>
      <c r="I10" s="270">
        <f>SUMIF('Salary &amp; Fringe'!$E$1:$E$300,"Senior (Other)",'Salary &amp; Fringe'!$W$1:$W$300)</f>
        <v>0</v>
      </c>
      <c r="J10" s="270">
        <f>SUMIF('Salary &amp; Fringe'!$E$1:$E$300,"Senior (Other)",'Salary &amp; Fringe'!$AG$1:$AG$300)</f>
        <v>0</v>
      </c>
      <c r="K10" s="270">
        <f t="shared" si="4"/>
        <v>0</v>
      </c>
    </row>
    <row r="11" spans="1:11" s="272" customFormat="1" ht="15.95" customHeight="1" thickBot="1" x14ac:dyDescent="0.3">
      <c r="I11" s="563" t="s">
        <v>361</v>
      </c>
      <c r="J11" s="564"/>
      <c r="K11" s="275">
        <f>SUM(K5:K10)</f>
        <v>0</v>
      </c>
    </row>
    <row r="12" spans="1:11" x14ac:dyDescent="0.25">
      <c r="A12" s="265" t="s">
        <v>102</v>
      </c>
    </row>
    <row r="13" spans="1:11" s="268" customFormat="1" ht="15" x14ac:dyDescent="0.25">
      <c r="A13" s="276" t="s">
        <v>341</v>
      </c>
      <c r="B13" s="555" t="s">
        <v>342</v>
      </c>
      <c r="C13" s="555"/>
      <c r="D13" s="267" t="s">
        <v>343</v>
      </c>
      <c r="E13" s="267" t="s">
        <v>344</v>
      </c>
      <c r="F13" s="267" t="s">
        <v>345</v>
      </c>
      <c r="G13" s="555" t="s">
        <v>338</v>
      </c>
      <c r="H13" s="555"/>
      <c r="I13" s="555" t="s">
        <v>339</v>
      </c>
      <c r="J13" s="555"/>
      <c r="K13" s="267" t="s">
        <v>346</v>
      </c>
    </row>
    <row r="14" spans="1:11" s="272" customFormat="1" ht="15" x14ac:dyDescent="0.25">
      <c r="A14" s="277">
        <f>SUMIFS('Salary &amp; Fringe'!$I$1:$I$300,'Salary &amp; Fringe'!$E$1:$E$300,"Postdoc", 'Salary &amp; Fringe'!$M$1:'Salary &amp; Fringe'!$M$300, "&gt;0")</f>
        <v>0</v>
      </c>
      <c r="B14" s="559" t="s">
        <v>103</v>
      </c>
      <c r="C14" s="559"/>
      <c r="D14" s="271">
        <f>SUMIFS('Salary &amp; Fringe'!$M$1:'Salary &amp; Fringe'!$M$300,'Salary &amp; Fringe'!$E$1:'Salary &amp; Fringe'!$E$300,"Postdoc",'Salary &amp; Fringe'!$F$1:'Salary &amp; Fringe'!$F$300,"Calendar*")+SUMIFS('Salary &amp; Fringe'!$M$1:'Salary &amp; Fringe'!$M$300,'Salary &amp; Fringe'!$E$1:'Salary &amp; Fringe'!$E$300,"Postdoc",'Salary &amp; Fringe'!$F$1:'Salary &amp; Fringe'!$F$300,"Hourly")</f>
        <v>0</v>
      </c>
      <c r="E14" s="271">
        <f>SUMIFS('Salary &amp; Fringe'!$M$1:'Salary &amp; Fringe'!$M$300,'Salary &amp; Fringe'!$E$1:'Salary &amp; Fringe'!$E$300,"Postdoc",'Salary &amp; Fringe'!$F$1:'Salary &amp; Fringe'!$F$300,"Academic")</f>
        <v>0</v>
      </c>
      <c r="F14" s="271">
        <f>SUMIFS('Salary &amp; Fringe'!$M$1:'Salary &amp; Fringe'!$M$300,'Salary &amp; Fringe'!$E$1:'Salary &amp; Fringe'!$E$300,"Postdoc",'Salary &amp; Fringe'!$F$1:'Salary &amp; Fringe'!$F$300,"Summer")</f>
        <v>0</v>
      </c>
      <c r="G14" s="556">
        <f>SUMIF('Salary &amp; Fringe'!$E$1:$E$300,"Postdoc",'Salary &amp; Fringe'!$W$1:$W$300)</f>
        <v>0</v>
      </c>
      <c r="H14" s="557"/>
      <c r="I14" s="556">
        <f>SUMIF('Salary &amp; Fringe'!$E$1:$E$300,"Postdoc",'Salary &amp; Fringe'!$AG$1:$AG$300)</f>
        <v>0</v>
      </c>
      <c r="J14" s="557"/>
      <c r="K14" s="270">
        <f>G14+I14</f>
        <v>0</v>
      </c>
    </row>
    <row r="15" spans="1:11" s="272" customFormat="1" ht="15" x14ac:dyDescent="0.25">
      <c r="A15" s="243"/>
      <c r="B15" s="559" t="s">
        <v>105</v>
      </c>
      <c r="C15" s="559"/>
      <c r="D15" s="271">
        <f>SUMIFS('Salary &amp; Fringe'!$M$1:'Salary &amp; Fringe'!$M$300,'Salary &amp; Fringe'!$E$1:'Salary &amp; Fringe'!$E$300,"Grad",'Salary &amp; Fringe'!$F$1:'Salary &amp; Fringe'!$F$300,"Calendar*")+SUMIFS('Salary &amp; Fringe'!$M$1:'Salary &amp; Fringe'!$M$300,'Salary &amp; Fringe'!$E$1:'Salary &amp; Fringe'!$E$300,"Grad",'Salary &amp; Fringe'!$F$1:'Salary &amp; Fringe'!$F$300,"Hourly")</f>
        <v>0</v>
      </c>
      <c r="E15" s="271">
        <f>SUMIFS('Salary &amp; Fringe'!$M$1:'Salary &amp; Fringe'!$M$300,'Salary &amp; Fringe'!$E$1:'Salary &amp; Fringe'!$E$300,"Grad",'Salary &amp; Fringe'!$F$1:'Salary &amp; Fringe'!$F$300,"Academic")*2</f>
        <v>0</v>
      </c>
      <c r="F15" s="271">
        <f>SUMIFS('Salary &amp; Fringe'!$M$1:'Salary &amp; Fringe'!$M$300,'Salary &amp; Fringe'!$E$1:'Salary &amp; Fringe'!$E$300,"Grad",'Salary &amp; Fringe'!$F$1:'Salary &amp; Fringe'!$F$300,"Summer")*2</f>
        <v>0</v>
      </c>
      <c r="G15" s="558">
        <f>SUMIF('Salary &amp; Fringe'!$E$1:$E$300,"Grad",'Salary &amp; Fringe'!$W$1:$W$300)</f>
        <v>0</v>
      </c>
      <c r="H15" s="558"/>
      <c r="I15" s="558">
        <f>SUMIF('Salary &amp; Fringe'!$E$1:$E$300,"Grad",'Salary &amp; Fringe'!$AG$1:$AG$300)</f>
        <v>0</v>
      </c>
      <c r="J15" s="558"/>
      <c r="K15" s="270">
        <f t="shared" ref="K15:K23" si="5">G15+I15</f>
        <v>0</v>
      </c>
    </row>
    <row r="16" spans="1:11" s="272" customFormat="1" ht="15" x14ac:dyDescent="0.25">
      <c r="A16" s="243"/>
      <c r="B16" s="559" t="s">
        <v>367</v>
      </c>
      <c r="C16" s="559"/>
      <c r="D16" s="271">
        <f>SUMIF('Salary &amp; Fringe'!$E$1:$E$300,"Undergrad",'Salary &amp; Fringe'!$M$1:$M$300)</f>
        <v>0</v>
      </c>
      <c r="E16" s="271">
        <v>0</v>
      </c>
      <c r="F16" s="271">
        <v>0</v>
      </c>
      <c r="G16" s="558">
        <f>SUMIF('Salary &amp; Fringe'!$E$1:$E$300,"Undergrad",'Salary &amp; Fringe'!$W$1:$W$300)</f>
        <v>0</v>
      </c>
      <c r="H16" s="558"/>
      <c r="I16" s="558">
        <f>SUMIF('Salary &amp; Fringe'!$E$1:$E$300,"Undergrad",'Salary &amp; Fringe'!$AG$1:$AG$300)</f>
        <v>0</v>
      </c>
      <c r="J16" s="558"/>
      <c r="K16" s="270">
        <f t="shared" si="5"/>
        <v>0</v>
      </c>
    </row>
    <row r="17" spans="1:11" s="272" customFormat="1" ht="15" x14ac:dyDescent="0.25">
      <c r="A17" s="271">
        <f>SUMIFS('Salary &amp; Fringe'!$I$1:$I$300,'Salary &amp; Fringe'!$E$1:$E$300,"Clerical", 'Salary &amp; Fringe'!$M$1:'Salary &amp; Fringe'!$M$300, "&gt;0")</f>
        <v>0</v>
      </c>
      <c r="B17" s="559" t="s">
        <v>348</v>
      </c>
      <c r="C17" s="559"/>
      <c r="D17" s="271">
        <f>SUMIFS('Salary &amp; Fringe'!$M$1:'Salary &amp; Fringe'!$M$300,'Salary &amp; Fringe'!$E$1:'Salary &amp; Fringe'!$E$300,"Clerical",'Salary &amp; Fringe'!$F$1:'Salary &amp; Fringe'!$F$300,"Calendar*")+SUMIFS('Salary &amp; Fringe'!$M$1:'Salary &amp; Fringe'!$M$300,'Salary &amp; Fringe'!$E$1:'Salary &amp; Fringe'!$E$300,"Clerical",'Salary &amp; Fringe'!$F$1:'Salary &amp; Fringe'!$F$300,"Hourly")</f>
        <v>0</v>
      </c>
      <c r="E17" s="271">
        <f>SUMIFS('Salary &amp; Fringe'!$M$1:'Salary &amp; Fringe'!$M$300,'Salary &amp; Fringe'!$E$1:'Salary &amp; Fringe'!$E$300,"Clerical",'Salary &amp; Fringe'!$F$1:'Salary &amp; Fringe'!$F$300,"Academic")</f>
        <v>0</v>
      </c>
      <c r="F17" s="271">
        <f>SUMIFS('Salary &amp; Fringe'!$M$1:'Salary &amp; Fringe'!$M$300,'Salary &amp; Fringe'!$E$1:'Salary &amp; Fringe'!$E$300,"Clerical",'Salary &amp; Fringe'!$F$1:'Salary &amp; Fringe'!$F$300,"Summer")</f>
        <v>0</v>
      </c>
      <c r="G17" s="558">
        <f>SUMIF('Salary &amp; Fringe'!$E$1:$E$300,"Clerical",'Salary &amp; Fringe'!$W$1:$W$300)</f>
        <v>0</v>
      </c>
      <c r="H17" s="558"/>
      <c r="I17" s="558">
        <f>SUMIF('Salary &amp; Fringe'!$E$1:$E$300,"Clerical",'Salary &amp; Fringe'!$AG$1:$AG$300)</f>
        <v>0</v>
      </c>
      <c r="J17" s="558"/>
      <c r="K17" s="270">
        <f t="shared" si="5"/>
        <v>0</v>
      </c>
    </row>
    <row r="18" spans="1:11" s="272" customFormat="1" ht="15" x14ac:dyDescent="0.25">
      <c r="A18" s="271">
        <f>SUMIFS('Salary &amp; Fringe'!$I$1:$I$300,'Salary &amp; Fringe'!$E$1:$E$300,"Other 1", 'Salary &amp; Fringe'!$M$1:'Salary &amp; Fringe'!$M$300, "&gt;0")</f>
        <v>0</v>
      </c>
      <c r="B18" s="559" t="str">
        <f>IF(G18&gt;0,(INDEX('Salary &amp; Fringe'!$B$1:$B$300,MATCH("Other 1",'Salary &amp; Fringe'!$E$1:$E$300,FALSE),1)),"")</f>
        <v/>
      </c>
      <c r="C18" s="559"/>
      <c r="D18" s="271">
        <f>SUMIFS('Salary &amp; Fringe'!$M$1:'Salary &amp; Fringe'!$M$300,'Salary &amp; Fringe'!$E$1:'Salary &amp; Fringe'!$E$300,"Other 1",'Salary &amp; Fringe'!$F$1:'Salary &amp; Fringe'!$F$300,"Calendar*")+SUMIFS('Salary &amp; Fringe'!$M$1:'Salary &amp; Fringe'!$M$300,'Salary &amp; Fringe'!$E$1:'Salary &amp; Fringe'!$E$300,"Other 1",'Salary &amp; Fringe'!$F$1:'Salary &amp; Fringe'!$F$300,"Hourly")</f>
        <v>0</v>
      </c>
      <c r="E18" s="271">
        <f>SUMIFS('Salary &amp; Fringe'!$M$1:'Salary &amp; Fringe'!$M$300,'Salary &amp; Fringe'!$E$1:'Salary &amp; Fringe'!$E$300,"Other 1",'Salary &amp; Fringe'!$F$1:'Salary &amp; Fringe'!$F$300,"Academic")</f>
        <v>0</v>
      </c>
      <c r="F18" s="271">
        <f>SUMIFS('Salary &amp; Fringe'!$M$1:'Salary &amp; Fringe'!$M$300,'Salary &amp; Fringe'!$E$1:'Salary &amp; Fringe'!$E$300,"Other 1",'Salary &amp; Fringe'!$F$1:'Salary &amp; Fringe'!$F$300,"Summer")</f>
        <v>0</v>
      </c>
      <c r="G18" s="558">
        <f>SUMIF('Salary &amp; Fringe'!$E$1:$E$300,"Other 1",'Salary &amp; Fringe'!$W$1:$W$300)</f>
        <v>0</v>
      </c>
      <c r="H18" s="558"/>
      <c r="I18" s="558">
        <f>SUMIF('Salary &amp; Fringe'!$E$1:$E$300,"Other 1",'Salary &amp; Fringe'!$AG$1:$AG$300)</f>
        <v>0</v>
      </c>
      <c r="J18" s="558"/>
      <c r="K18" s="270">
        <f t="shared" si="5"/>
        <v>0</v>
      </c>
    </row>
    <row r="19" spans="1:11" s="272" customFormat="1" ht="15" x14ac:dyDescent="0.25">
      <c r="A19" s="271">
        <f>SUMIFS('Salary &amp; Fringe'!$I$1:$I$300,'Salary &amp; Fringe'!$E$1:$E$300,"Other 2", 'Salary &amp; Fringe'!$M$1:'Salary &amp; Fringe'!$M$300, "&gt;0")</f>
        <v>0</v>
      </c>
      <c r="B19" s="559" t="str">
        <f>IF(G19&gt;0,(INDEX('Salary &amp; Fringe'!$B$1:$B$300,MATCH("Other 2",'Salary &amp; Fringe'!$E$1:$E$300,FALSE),1)),"")</f>
        <v/>
      </c>
      <c r="C19" s="559"/>
      <c r="D19" s="271">
        <f>SUMIFS('Salary &amp; Fringe'!$M$1:'Salary &amp; Fringe'!$M$300,'Salary &amp; Fringe'!$E$1:'Salary &amp; Fringe'!$E$300,"Other 2",'Salary &amp; Fringe'!$F$1:'Salary &amp; Fringe'!$F$300,"Calendar*")+SUMIFS('Salary &amp; Fringe'!$M$1:'Salary &amp; Fringe'!$M$300,'Salary &amp; Fringe'!$E$1:'Salary &amp; Fringe'!$E$300,"Other 2",'Salary &amp; Fringe'!$F$1:'Salary &amp; Fringe'!$F$300,"Hourly")</f>
        <v>0</v>
      </c>
      <c r="E19" s="271">
        <f>SUMIFS('Salary &amp; Fringe'!$M$1:'Salary &amp; Fringe'!$M$300,'Salary &amp; Fringe'!$E$1:'Salary &amp; Fringe'!$E$300,"Other 2",'Salary &amp; Fringe'!$F$1:'Salary &amp; Fringe'!$F$300,"Academic")</f>
        <v>0</v>
      </c>
      <c r="F19" s="271">
        <f>SUMIFS('Salary &amp; Fringe'!$M$1:'Salary &amp; Fringe'!$M$300,'Salary &amp; Fringe'!$E$1:'Salary &amp; Fringe'!$E$300,"Other 2",'Salary &amp; Fringe'!$F$1:'Salary &amp; Fringe'!$F$300,"Summer")</f>
        <v>0</v>
      </c>
      <c r="G19" s="558">
        <f>SUMIF('Salary &amp; Fringe'!$E$1:$E$300,"Other 2",'Salary &amp; Fringe'!$W$1:$W$300)</f>
        <v>0</v>
      </c>
      <c r="H19" s="558"/>
      <c r="I19" s="558">
        <f>SUMIF('Salary &amp; Fringe'!$E$1:$E$300,"Other 2",'Salary &amp; Fringe'!$AG$1:$AG$300)</f>
        <v>0</v>
      </c>
      <c r="J19" s="558"/>
      <c r="K19" s="270">
        <f t="shared" si="5"/>
        <v>0</v>
      </c>
    </row>
    <row r="20" spans="1:11" s="272" customFormat="1" ht="15" x14ac:dyDescent="0.25">
      <c r="A20" s="271">
        <f>SUMIFS('Salary &amp; Fringe'!$I$1:$I$300,'Salary &amp; Fringe'!$E$1:$E$300,"Other 3", 'Salary &amp; Fringe'!$M$1:'Salary &amp; Fringe'!$M$300, "&gt;0")</f>
        <v>0</v>
      </c>
      <c r="B20" s="559" t="str">
        <f>IF(G20&gt;0,(INDEX('Salary &amp; Fringe'!$B$1:$B$300,MATCH("Other 3",'Salary &amp; Fringe'!$E$1:$E$300,FALSE),1)),"")</f>
        <v/>
      </c>
      <c r="C20" s="559"/>
      <c r="D20" s="271">
        <f>SUMIFS('Salary &amp; Fringe'!$M$1:'Salary &amp; Fringe'!$M$300,'Salary &amp; Fringe'!$E$1:'Salary &amp; Fringe'!$E$300,"Other 3",'Salary &amp; Fringe'!$F$1:'Salary &amp; Fringe'!$F$300,"Calendar*")+SUMIFS('Salary &amp; Fringe'!$M$1:'Salary &amp; Fringe'!$M$300,'Salary &amp; Fringe'!$E$1:'Salary &amp; Fringe'!$E$300,"Other 3",'Salary &amp; Fringe'!$F$1:'Salary &amp; Fringe'!$F$300,"Hourly")</f>
        <v>0</v>
      </c>
      <c r="E20" s="271">
        <f>SUMIFS('Salary &amp; Fringe'!$M$1:'Salary &amp; Fringe'!$M$300,'Salary &amp; Fringe'!$E$1:'Salary &amp; Fringe'!$E$300,"Other 3",'Salary &amp; Fringe'!$F$1:'Salary &amp; Fringe'!$F$300,"Academic")</f>
        <v>0</v>
      </c>
      <c r="F20" s="271">
        <f>SUMIFS('Salary &amp; Fringe'!$M$1:'Salary &amp; Fringe'!$M$300,'Salary &amp; Fringe'!$E$1:'Salary &amp; Fringe'!$E$300,"Other 3",'Salary &amp; Fringe'!$F$1:'Salary &amp; Fringe'!$F$300,"Summer")</f>
        <v>0</v>
      </c>
      <c r="G20" s="558">
        <f>SUMIF('Salary &amp; Fringe'!$E$1:$E$300,"Other 3",'Salary &amp; Fringe'!$W$1:$W$300)</f>
        <v>0</v>
      </c>
      <c r="H20" s="558"/>
      <c r="I20" s="558">
        <f>SUMIF('Salary &amp; Fringe'!$E$1:$E$300,"Other 3",'Salary &amp; Fringe'!$AG$1:$AG$300)</f>
        <v>0</v>
      </c>
      <c r="J20" s="558"/>
      <c r="K20" s="270">
        <f t="shared" si="5"/>
        <v>0</v>
      </c>
    </row>
    <row r="21" spans="1:11" s="272" customFormat="1" ht="15" x14ac:dyDescent="0.25">
      <c r="A21" s="271">
        <f>SUMIFS('Salary &amp; Fringe'!$I$1:$I$300,'Salary &amp; Fringe'!$E$1:$E$300,"Other 4", 'Salary &amp; Fringe'!$M$1:'Salary &amp; Fringe'!$M$300, "&gt;0")</f>
        <v>0</v>
      </c>
      <c r="B21" s="559" t="str">
        <f>IF(G21&gt;0,(INDEX('Salary &amp; Fringe'!$B$1:$B$300,MATCH("Other 4",'Salary &amp; Fringe'!$E$1:$E$300,FALSE),1)),"")</f>
        <v/>
      </c>
      <c r="C21" s="559"/>
      <c r="D21" s="271">
        <f>SUMIFS('Salary &amp; Fringe'!$M$1:'Salary &amp; Fringe'!$M$300,'Salary &amp; Fringe'!$E$1:'Salary &amp; Fringe'!$E$300,"Other 4",'Salary &amp; Fringe'!$F$1:'Salary &amp; Fringe'!$F$300,"Calendar*")+SUMIFS('Salary &amp; Fringe'!$M$1:'Salary &amp; Fringe'!$M$300,'Salary &amp; Fringe'!$E$1:'Salary &amp; Fringe'!$E$300,"Other 4",'Salary &amp; Fringe'!$F$1:'Salary &amp; Fringe'!$F$300,"Hourly")</f>
        <v>0</v>
      </c>
      <c r="E21" s="271">
        <f>SUMIFS('Salary &amp; Fringe'!$M$1:'Salary &amp; Fringe'!$M$300,'Salary &amp; Fringe'!$E$1:'Salary &amp; Fringe'!$E$300,"Other 4",'Salary &amp; Fringe'!$F$1:'Salary &amp; Fringe'!$F$300,"Academic")</f>
        <v>0</v>
      </c>
      <c r="F21" s="271">
        <f>SUMIFS('Salary &amp; Fringe'!$M$1:'Salary &amp; Fringe'!$M$300,'Salary &amp; Fringe'!$E$1:'Salary &amp; Fringe'!$E$300,"Other 4",'Salary &amp; Fringe'!$F$1:'Salary &amp; Fringe'!$F$300,"Summer")</f>
        <v>0</v>
      </c>
      <c r="G21" s="558">
        <f>SUMIF('Salary &amp; Fringe'!$E$1:$E$300,"Other 4",'Salary &amp; Fringe'!$W$1:$W$300)</f>
        <v>0</v>
      </c>
      <c r="H21" s="558"/>
      <c r="I21" s="558">
        <f>SUMIF('Salary &amp; Fringe'!$E$1:$E$300,"Other 4",'Salary &amp; Fringe'!$AG$1:$AG$300)</f>
        <v>0</v>
      </c>
      <c r="J21" s="558"/>
      <c r="K21" s="270">
        <f t="shared" si="5"/>
        <v>0</v>
      </c>
    </row>
    <row r="22" spans="1:11" s="272" customFormat="1" ht="15" x14ac:dyDescent="0.25">
      <c r="A22" s="271">
        <f>SUMIFS('Salary &amp; Fringe'!$I$1:$I$300,'Salary &amp; Fringe'!$E$1:$E$300,"Other 5", 'Salary &amp; Fringe'!$M$1:'Salary &amp; Fringe'!$M$300, "&gt;0")</f>
        <v>0</v>
      </c>
      <c r="B22" s="559" t="str">
        <f>IF(G22&gt;0,(INDEX('Salary &amp; Fringe'!$B$1:$B$300,MATCH("Other 5",'Salary &amp; Fringe'!$E$1:$E$300,FALSE),1)),"")</f>
        <v/>
      </c>
      <c r="C22" s="559"/>
      <c r="D22" s="271">
        <f>SUMIFS('Salary &amp; Fringe'!$M$1:'Salary &amp; Fringe'!$M$300,'Salary &amp; Fringe'!$E$1:'Salary &amp; Fringe'!$E$300,"Other 5",'Salary &amp; Fringe'!$F$1:'Salary &amp; Fringe'!$F$300,"Calendar*")+SUMIFS('Salary &amp; Fringe'!$M$1:'Salary &amp; Fringe'!$M$300,'Salary &amp; Fringe'!$E$1:'Salary &amp; Fringe'!$E$300,"Other 5",'Salary &amp; Fringe'!$F$1:'Salary &amp; Fringe'!$F$300,"Hourly")</f>
        <v>0</v>
      </c>
      <c r="E22" s="271">
        <f>SUMIFS('Salary &amp; Fringe'!$M$1:'Salary &amp; Fringe'!$M$300,'Salary &amp; Fringe'!$E$1:'Salary &amp; Fringe'!$E$300,"Other 5",'Salary &amp; Fringe'!$F$1:'Salary &amp; Fringe'!$F$300,"Academic")</f>
        <v>0</v>
      </c>
      <c r="F22" s="271">
        <f>SUMIFS('Salary &amp; Fringe'!$M$1:'Salary &amp; Fringe'!$M$300,'Salary &amp; Fringe'!$E$1:'Salary &amp; Fringe'!$E$300,"Other 5",'Salary &amp; Fringe'!$F$1:'Salary &amp; Fringe'!$F$300,"Summer")</f>
        <v>0</v>
      </c>
      <c r="G22" s="558">
        <f>SUMIF('Salary &amp; Fringe'!$E$1:$E$300,"Other 5",'Salary &amp; Fringe'!$W$1:$W$300)</f>
        <v>0</v>
      </c>
      <c r="H22" s="558"/>
      <c r="I22" s="558">
        <f>SUMIF('Salary &amp; Fringe'!$E$1:$E$300,"Other 5",'Salary &amp; Fringe'!$AG$1:$AG$300)</f>
        <v>0</v>
      </c>
      <c r="J22" s="558"/>
      <c r="K22" s="270">
        <f t="shared" si="5"/>
        <v>0</v>
      </c>
    </row>
    <row r="23" spans="1:11" s="272" customFormat="1" thickBot="1" x14ac:dyDescent="0.3">
      <c r="A23" s="278">
        <f>SUMIFS('Salary &amp; Fringe'!$I$1:$I$300,'Salary &amp; Fringe'!$E$1:$E$300,"Other 6", 'Salary &amp; Fringe'!$M$1:'Salary &amp; Fringe'!$M$300, "&gt;0")</f>
        <v>0</v>
      </c>
      <c r="B23" s="559" t="str">
        <f>IF(G23&gt;0,(INDEX('Salary &amp; Fringe'!$B$1:$B$300,MATCH("Other 6",'Salary &amp; Fringe'!$E$1:$E$300,FALSE),1)),"")</f>
        <v/>
      </c>
      <c r="C23" s="559"/>
      <c r="D23" s="271">
        <f>SUMIFS('Salary &amp; Fringe'!$M$1:'Salary &amp; Fringe'!$M$300,'Salary &amp; Fringe'!$E$1:'Salary &amp; Fringe'!$E$300,"Other 6",'Salary &amp; Fringe'!$F$1:'Salary &amp; Fringe'!$F$300,"Calendar*")+SUMIFS('Salary &amp; Fringe'!$M$1:'Salary &amp; Fringe'!$M$300,'Salary &amp; Fringe'!$E$1:'Salary &amp; Fringe'!$E$300,"Other 6",'Salary &amp; Fringe'!$F$1:'Salary &amp; Fringe'!$F$300,"Hourly")</f>
        <v>0</v>
      </c>
      <c r="E23" s="271">
        <f>SUMIFS('Salary &amp; Fringe'!$M$1:'Salary &amp; Fringe'!$M$300,'Salary &amp; Fringe'!$E$1:'Salary &amp; Fringe'!$E$300,"Other 6",'Salary &amp; Fringe'!$F$1:'Salary &amp; Fringe'!$F$300,"Academic")</f>
        <v>0</v>
      </c>
      <c r="F23" s="271">
        <f>SUMIFS('Salary &amp; Fringe'!$M$1:'Salary &amp; Fringe'!$M$300,'Salary &amp; Fringe'!$E$1:'Salary &amp; Fringe'!$E$300,"Other 6",'Salary &amp; Fringe'!$F$1:'Salary &amp; Fringe'!$F$300,"Summer")</f>
        <v>0</v>
      </c>
      <c r="G23" s="558">
        <f>SUMIF('Salary &amp; Fringe'!$E$1:$E$300,"Other 6",'Salary &amp; Fringe'!$W$1:$W$300)</f>
        <v>0</v>
      </c>
      <c r="H23" s="558"/>
      <c r="I23" s="558">
        <f>SUMIF('Salary &amp; Fringe'!$E$1:$E$300,"Other 6",'Salary &amp; Fringe'!$AG$1:$AG$300)</f>
        <v>0</v>
      </c>
      <c r="J23" s="558"/>
      <c r="K23" s="270">
        <f t="shared" si="5"/>
        <v>0</v>
      </c>
    </row>
    <row r="24" spans="1:11" s="280" customFormat="1" ht="15" customHeight="1" thickBot="1" x14ac:dyDescent="0.3">
      <c r="A24" s="279">
        <f>SUM(A14:A23)</f>
        <v>0</v>
      </c>
      <c r="B24" s="560" t="s">
        <v>376</v>
      </c>
      <c r="C24" s="561"/>
      <c r="D24" s="562"/>
      <c r="H24" s="563" t="s">
        <v>349</v>
      </c>
      <c r="I24" s="565"/>
      <c r="J24" s="566"/>
      <c r="K24" s="281">
        <f>SUM(K14:K23)</f>
        <v>0</v>
      </c>
    </row>
    <row r="25" spans="1:11" s="272" customFormat="1" ht="15" customHeight="1" thickBot="1" x14ac:dyDescent="0.3">
      <c r="A25" s="273"/>
      <c r="H25" s="563" t="s">
        <v>310</v>
      </c>
      <c r="I25" s="565"/>
      <c r="J25" s="566"/>
      <c r="K25" s="275">
        <f>K11+K24</f>
        <v>0</v>
      </c>
    </row>
    <row r="26" spans="1:11" x14ac:dyDescent="0.25">
      <c r="A26" s="265" t="s">
        <v>298</v>
      </c>
    </row>
    <row r="27" spans="1:11" x14ac:dyDescent="0.25">
      <c r="A27" s="567" t="s">
        <v>350</v>
      </c>
      <c r="B27" s="567"/>
      <c r="C27" s="567"/>
      <c r="D27" s="567"/>
      <c r="E27" s="567"/>
      <c r="F27" s="567"/>
      <c r="G27" s="567"/>
      <c r="H27" s="567"/>
      <c r="I27" s="567"/>
      <c r="J27" s="567"/>
      <c r="K27" s="267" t="s">
        <v>346</v>
      </c>
    </row>
    <row r="28" spans="1:11" s="272" customFormat="1" ht="15" x14ac:dyDescent="0.25">
      <c r="A28" s="554" t="str">
        <f>IF(ISBLANK(Budget!F47),"",Budget!A47)</f>
        <v/>
      </c>
      <c r="B28" s="554"/>
      <c r="C28" s="554"/>
      <c r="D28" s="554"/>
      <c r="E28" s="554"/>
      <c r="F28" s="554"/>
      <c r="G28" s="554"/>
      <c r="H28" s="554"/>
      <c r="I28" s="554"/>
      <c r="J28" s="554"/>
      <c r="K28" s="270">
        <f>IF(Budget!F47&gt;0,Budget!F47,0)</f>
        <v>0</v>
      </c>
    </row>
    <row r="29" spans="1:11" s="272" customFormat="1" ht="15" x14ac:dyDescent="0.25">
      <c r="A29" s="554" t="str">
        <f>IF(ISBLANK(Budget!F48),"",Budget!A48)</f>
        <v/>
      </c>
      <c r="B29" s="554"/>
      <c r="C29" s="554"/>
      <c r="D29" s="554"/>
      <c r="E29" s="554"/>
      <c r="F29" s="554"/>
      <c r="G29" s="554"/>
      <c r="H29" s="554"/>
      <c r="I29" s="554"/>
      <c r="J29" s="554"/>
      <c r="K29" s="270">
        <f>IF(Budget!F48&gt;0,Budget!F48,0)</f>
        <v>0</v>
      </c>
    </row>
    <row r="30" spans="1:11" s="272" customFormat="1" ht="15" x14ac:dyDescent="0.25">
      <c r="A30" s="554" t="str">
        <f>IF(ISBLANK(Budget!F49),"",Budget!A49)</f>
        <v/>
      </c>
      <c r="B30" s="554"/>
      <c r="C30" s="554"/>
      <c r="D30" s="554"/>
      <c r="E30" s="554"/>
      <c r="F30" s="554"/>
      <c r="G30" s="554"/>
      <c r="H30" s="554"/>
      <c r="I30" s="554"/>
      <c r="J30" s="554"/>
      <c r="K30" s="270">
        <f>IF(Budget!F49&gt;0,Budget!F49,0)</f>
        <v>0</v>
      </c>
    </row>
    <row r="31" spans="1:11" s="272" customFormat="1" ht="15" x14ac:dyDescent="0.25">
      <c r="A31" s="554" t="str">
        <f>IF(ISBLANK(Budget!F50),"",Budget!A50)</f>
        <v/>
      </c>
      <c r="B31" s="554"/>
      <c r="C31" s="554"/>
      <c r="D31" s="554"/>
      <c r="E31" s="554"/>
      <c r="F31" s="554"/>
      <c r="G31" s="554"/>
      <c r="H31" s="554"/>
      <c r="I31" s="554"/>
      <c r="J31" s="554"/>
      <c r="K31" s="270">
        <f>IF(Budget!F50&gt;0,Budget!F50,0)</f>
        <v>0</v>
      </c>
    </row>
    <row r="32" spans="1:11" s="272" customFormat="1" thickBot="1" x14ac:dyDescent="0.3">
      <c r="A32" s="554" t="str">
        <f>IF(ISBLANK(Budget!F51),"",Budget!A51)</f>
        <v/>
      </c>
      <c r="B32" s="554"/>
      <c r="C32" s="554"/>
      <c r="D32" s="554"/>
      <c r="E32" s="554"/>
      <c r="F32" s="554"/>
      <c r="G32" s="554"/>
      <c r="H32" s="554"/>
      <c r="I32" s="554"/>
      <c r="J32" s="554"/>
      <c r="K32" s="270">
        <f>IF(Budget!F51&gt;0,Budget!F51,0)</f>
        <v>0</v>
      </c>
    </row>
    <row r="33" spans="1:12" s="272" customFormat="1" thickBot="1" x14ac:dyDescent="0.3">
      <c r="J33" s="282" t="s">
        <v>58</v>
      </c>
      <c r="K33" s="275">
        <f>TotalEquipment1</f>
        <v>0</v>
      </c>
    </row>
    <row r="34" spans="1:12" s="272" customFormat="1" ht="15" x14ac:dyDescent="0.25">
      <c r="J34" s="283"/>
      <c r="K34" s="284"/>
    </row>
    <row r="35" spans="1:12" x14ac:dyDescent="0.25">
      <c r="A35" s="285" t="s">
        <v>299</v>
      </c>
      <c r="B35" s="285"/>
      <c r="C35" s="285"/>
      <c r="D35" s="285"/>
      <c r="E35" s="285"/>
      <c r="F35" s="285"/>
      <c r="G35" s="285"/>
      <c r="H35" s="285"/>
      <c r="I35" s="285"/>
      <c r="J35" s="286"/>
      <c r="K35" s="267" t="s">
        <v>346</v>
      </c>
      <c r="L35" s="268"/>
    </row>
    <row r="36" spans="1:12" s="272" customFormat="1" ht="15" x14ac:dyDescent="0.25">
      <c r="A36" s="569" t="s">
        <v>351</v>
      </c>
      <c r="B36" s="570"/>
      <c r="C36" s="570"/>
      <c r="D36" s="570"/>
      <c r="E36" s="570"/>
      <c r="F36" s="570"/>
      <c r="G36" s="570"/>
      <c r="H36" s="570"/>
      <c r="I36" s="570"/>
      <c r="J36" s="571"/>
      <c r="K36" s="287">
        <f>Budget!F39</f>
        <v>0</v>
      </c>
    </row>
    <row r="37" spans="1:12" s="272" customFormat="1" thickBot="1" x14ac:dyDescent="0.3">
      <c r="A37" s="569" t="s">
        <v>352</v>
      </c>
      <c r="B37" s="570"/>
      <c r="C37" s="570"/>
      <c r="D37" s="570"/>
      <c r="E37" s="570"/>
      <c r="F37" s="570"/>
      <c r="G37" s="570"/>
      <c r="H37" s="570"/>
      <c r="I37" s="570"/>
      <c r="J37" s="571"/>
      <c r="K37" s="287">
        <f>Budget!F44</f>
        <v>0</v>
      </c>
    </row>
    <row r="38" spans="1:12" s="272" customFormat="1" thickBot="1" x14ac:dyDescent="0.3">
      <c r="C38" s="553"/>
      <c r="D38" s="553"/>
      <c r="J38" s="288" t="s">
        <v>353</v>
      </c>
      <c r="K38" s="275">
        <f>SUM(K36:K37)</f>
        <v>0</v>
      </c>
    </row>
    <row r="39" spans="1:12" s="272" customFormat="1" ht="15" x14ac:dyDescent="0.25">
      <c r="K39" s="289"/>
    </row>
    <row r="40" spans="1:12" x14ac:dyDescent="0.25">
      <c r="A40" s="285" t="s">
        <v>300</v>
      </c>
      <c r="B40" s="285"/>
      <c r="C40" s="285"/>
      <c r="D40" s="285"/>
      <c r="E40" s="285"/>
      <c r="F40" s="285"/>
      <c r="G40" s="285"/>
      <c r="H40" s="285"/>
      <c r="I40" s="285"/>
      <c r="J40" s="286"/>
      <c r="K40" s="267" t="s">
        <v>346</v>
      </c>
      <c r="L40" s="268"/>
    </row>
    <row r="41" spans="1:12" s="272" customFormat="1" ht="15" x14ac:dyDescent="0.25">
      <c r="A41" s="554" t="s">
        <v>315</v>
      </c>
      <c r="B41" s="554"/>
      <c r="C41" s="554"/>
      <c r="D41" s="554"/>
      <c r="E41" s="554"/>
      <c r="F41" s="554"/>
      <c r="G41" s="554"/>
      <c r="H41" s="554"/>
      <c r="I41" s="554"/>
      <c r="J41" s="554"/>
      <c r="K41" s="270">
        <f>SUMIF(Budget!$A$2:$A$504,"PS Tuition/Fees/Health Insurance",Budget!$F$2:$F$504)</f>
        <v>0</v>
      </c>
    </row>
    <row r="42" spans="1:12" s="272" customFormat="1" ht="15" x14ac:dyDescent="0.25">
      <c r="A42" s="554" t="s">
        <v>316</v>
      </c>
      <c r="B42" s="554"/>
      <c r="C42" s="554"/>
      <c r="D42" s="554"/>
      <c r="E42" s="554"/>
      <c r="F42" s="554"/>
      <c r="G42" s="554"/>
      <c r="H42" s="554"/>
      <c r="I42" s="554"/>
      <c r="J42" s="554"/>
      <c r="K42" s="270">
        <f>SUMIF(Budget!$A$2:$A$504,"PS Stipends",Budget!$F$2:$F$504)</f>
        <v>0</v>
      </c>
    </row>
    <row r="43" spans="1:12" s="272" customFormat="1" ht="15" x14ac:dyDescent="0.25">
      <c r="A43" s="554" t="s">
        <v>317</v>
      </c>
      <c r="B43" s="554"/>
      <c r="C43" s="554"/>
      <c r="D43" s="554"/>
      <c r="E43" s="554"/>
      <c r="F43" s="554"/>
      <c r="G43" s="554"/>
      <c r="H43" s="554"/>
      <c r="I43" s="554"/>
      <c r="J43" s="554"/>
      <c r="K43" s="270">
        <f>SUMIF(Budget!$A$2:$A$504,"PS Travel",Budget!$F$2:$F$504)</f>
        <v>0</v>
      </c>
    </row>
    <row r="44" spans="1:12" s="272" customFormat="1" ht="15" x14ac:dyDescent="0.25">
      <c r="A44" s="554" t="s">
        <v>318</v>
      </c>
      <c r="B44" s="554"/>
      <c r="C44" s="554"/>
      <c r="D44" s="554"/>
      <c r="E44" s="554"/>
      <c r="F44" s="554"/>
      <c r="G44" s="554"/>
      <c r="H44" s="554"/>
      <c r="I44" s="554"/>
      <c r="J44" s="554"/>
      <c r="K44" s="270">
        <f>SUMIF(Budget!$A$2:$A$504,"PS Subsistence",Budget!$F$2:$F$504)</f>
        <v>0</v>
      </c>
    </row>
    <row r="45" spans="1:12" s="272" customFormat="1" thickBot="1" x14ac:dyDescent="0.3">
      <c r="A45" s="554" t="s">
        <v>319</v>
      </c>
      <c r="B45" s="572"/>
      <c r="C45" s="554"/>
      <c r="D45" s="554"/>
      <c r="E45" s="554"/>
      <c r="F45" s="554"/>
      <c r="G45" s="554"/>
      <c r="H45" s="554"/>
      <c r="I45" s="554"/>
      <c r="J45" s="554"/>
      <c r="K45" s="290">
        <f>SUMIF(Budget!$A$2:$A$504,"PS Other",Budget!$F$2:$F$504)</f>
        <v>0</v>
      </c>
    </row>
    <row r="46" spans="1:12" s="272" customFormat="1" thickBot="1" x14ac:dyDescent="0.3">
      <c r="A46" s="291" t="s">
        <v>354</v>
      </c>
      <c r="B46" s="244"/>
      <c r="C46" s="292"/>
      <c r="D46" s="292"/>
      <c r="H46" s="568" t="s">
        <v>355</v>
      </c>
      <c r="I46" s="568"/>
      <c r="J46" s="563"/>
      <c r="K46" s="275">
        <f>SUM(K41:K45)</f>
        <v>0</v>
      </c>
    </row>
    <row r="47" spans="1:12" s="272" customFormat="1" ht="15" customHeight="1" x14ac:dyDescent="0.25">
      <c r="C47" s="553"/>
      <c r="D47" s="553"/>
      <c r="K47" s="268"/>
    </row>
    <row r="48" spans="1:12" x14ac:dyDescent="0.25">
      <c r="A48" s="265" t="s">
        <v>301</v>
      </c>
      <c r="K48" s="293" t="s">
        <v>346</v>
      </c>
    </row>
    <row r="49" spans="1:12" s="272" customFormat="1" ht="15" x14ac:dyDescent="0.25">
      <c r="A49" s="552" t="s">
        <v>120</v>
      </c>
      <c r="B49" s="552"/>
      <c r="C49" s="552"/>
      <c r="D49" s="552"/>
      <c r="E49" s="552"/>
      <c r="F49" s="552"/>
      <c r="G49" s="552"/>
      <c r="H49" s="552"/>
      <c r="I49" s="552"/>
      <c r="J49" s="552"/>
      <c r="K49" s="270">
        <f>SUMIF(Budget!$A$2:$A$504,"Materials &amp; Supplies",Budget!$F$2:$F$504)</f>
        <v>0</v>
      </c>
    </row>
    <row r="50" spans="1:12" s="272" customFormat="1" ht="15" x14ac:dyDescent="0.25">
      <c r="A50" s="552" t="s">
        <v>322</v>
      </c>
      <c r="B50" s="552"/>
      <c r="C50" s="552"/>
      <c r="D50" s="552"/>
      <c r="E50" s="552"/>
      <c r="F50" s="552"/>
      <c r="G50" s="552"/>
      <c r="H50" s="552"/>
      <c r="I50" s="552"/>
      <c r="J50" s="552"/>
      <c r="K50" s="270">
        <f>SUMIF(Budget!$A$2:$A$504,"Publication Costs/Page Charges",Budget!$F$2:$F$504)</f>
        <v>0</v>
      </c>
    </row>
    <row r="51" spans="1:12" s="272" customFormat="1" ht="15" x14ac:dyDescent="0.25">
      <c r="A51" s="552" t="s">
        <v>122</v>
      </c>
      <c r="B51" s="552"/>
      <c r="C51" s="552"/>
      <c r="D51" s="552"/>
      <c r="E51" s="552"/>
      <c r="F51" s="552"/>
      <c r="G51" s="552"/>
      <c r="H51" s="552"/>
      <c r="I51" s="552"/>
      <c r="J51" s="552"/>
      <c r="K51" s="270">
        <f>SUMIF(Budget!$A$2:$A$504,"Consultant Services",Budget!$F$2:$F$504)</f>
        <v>0</v>
      </c>
    </row>
    <row r="52" spans="1:12" s="272" customFormat="1" ht="15" x14ac:dyDescent="0.25">
      <c r="A52" s="552" t="s">
        <v>323</v>
      </c>
      <c r="B52" s="552"/>
      <c r="C52" s="552"/>
      <c r="D52" s="552"/>
      <c r="E52" s="552"/>
      <c r="F52" s="552"/>
      <c r="G52" s="552"/>
      <c r="H52" s="552"/>
      <c r="I52" s="552"/>
      <c r="J52" s="552"/>
      <c r="K52" s="270">
        <f>SUMIF(Budget!$A$2:$A$504,"Computer (ADPE) Services",Budget!$F$2:$F$504)</f>
        <v>0</v>
      </c>
    </row>
    <row r="53" spans="1:12" s="272" customFormat="1" ht="15" x14ac:dyDescent="0.25">
      <c r="A53" s="552" t="s">
        <v>360</v>
      </c>
      <c r="B53" s="552"/>
      <c r="C53" s="552"/>
      <c r="D53" s="552"/>
      <c r="E53" s="552"/>
      <c r="F53" s="552"/>
      <c r="G53" s="552"/>
      <c r="H53" s="552"/>
      <c r="I53" s="552"/>
      <c r="J53" s="552"/>
      <c r="K53" s="270">
        <f ca="1">TotalSubs1+TotalMulti1+SUMIF(Budget!$A$2:$A$504,"Vendor Contract",Budget!$F$2:$F$504)+SUMIF(Budget!$A$2:$A$504,"Service Agreement",Budget!$F$2:$F$504)</f>
        <v>0</v>
      </c>
    </row>
    <row r="54" spans="1:12" s="272" customFormat="1" x14ac:dyDescent="0.25">
      <c r="A54" s="552" t="s">
        <v>325</v>
      </c>
      <c r="B54" s="552"/>
      <c r="C54" s="552"/>
      <c r="D54" s="552"/>
      <c r="E54" s="552"/>
      <c r="F54" s="552"/>
      <c r="G54" s="552"/>
      <c r="H54" s="552"/>
      <c r="I54" s="552"/>
      <c r="J54" s="552"/>
      <c r="K54" s="294">
        <f>SUMIF(Budget!$A$2:$A$504,"Other Rentals",Budget!$F$2:$F$504)+SUMIF(Budget!$A$2:$A$504,"Space Rentals",Budget!$F$2:$F$504)+SUMIF(Budget!$A$2:$A$504,"Equipment or Facility Rental/User Fees",Budget!$F$2:$F$504)</f>
        <v>0</v>
      </c>
    </row>
    <row r="55" spans="1:12" s="272" customFormat="1" ht="15" x14ac:dyDescent="0.25">
      <c r="A55" s="552" t="s">
        <v>326</v>
      </c>
      <c r="B55" s="552"/>
      <c r="C55" s="552"/>
      <c r="D55" s="552"/>
      <c r="E55" s="552"/>
      <c r="F55" s="552"/>
      <c r="G55" s="552"/>
      <c r="H55" s="552"/>
      <c r="I55" s="552"/>
      <c r="J55" s="552"/>
      <c r="K55" s="270">
        <f>SUMIF(Budget!$A$2:$A$504,"Alterations and Renovations",Budget!$F$2:$F$504)</f>
        <v>0</v>
      </c>
    </row>
    <row r="56" spans="1:12" s="272" customFormat="1" ht="15" x14ac:dyDescent="0.25">
      <c r="A56" s="573" t="s">
        <v>379</v>
      </c>
      <c r="B56" s="573"/>
      <c r="C56" s="573"/>
      <c r="D56" s="573"/>
      <c r="E56" s="573"/>
      <c r="F56" s="573"/>
      <c r="G56" s="573"/>
      <c r="H56" s="573"/>
      <c r="I56" s="573"/>
      <c r="J56" s="573"/>
      <c r="K56" s="270">
        <f>TotalGSR1</f>
        <v>0</v>
      </c>
    </row>
    <row r="57" spans="1:12" s="272" customFormat="1" ht="15" x14ac:dyDescent="0.25">
      <c r="A57" s="573" t="s">
        <v>380</v>
      </c>
      <c r="B57" s="573"/>
      <c r="C57" s="573"/>
      <c r="D57" s="573"/>
      <c r="E57" s="573"/>
      <c r="F57" s="573"/>
      <c r="G57" s="573"/>
      <c r="H57" s="573"/>
      <c r="I57" s="573"/>
      <c r="J57" s="573"/>
      <c r="K57" s="270">
        <f>SUMIF(Budget!$A$2:$A$504,"Other",Budget!$F$2:$F$504)+SUMIF(Budget!$A$2:$A$504,"Other Maintenance Fees",Budget!$F$2:$F$504)</f>
        <v>0</v>
      </c>
    </row>
    <row r="58" spans="1:12" s="272" customFormat="1" thickBot="1" x14ac:dyDescent="0.3">
      <c r="A58" s="579" t="s">
        <v>383</v>
      </c>
      <c r="B58" s="579"/>
      <c r="C58" s="579"/>
      <c r="D58" s="579"/>
      <c r="E58" s="579"/>
      <c r="F58" s="579"/>
      <c r="G58" s="579"/>
      <c r="H58" s="579"/>
      <c r="I58" s="579"/>
      <c r="J58" s="579"/>
      <c r="K58" s="290">
        <v>0</v>
      </c>
    </row>
    <row r="59" spans="1:12" s="272" customFormat="1" ht="15" customHeight="1" thickBot="1" x14ac:dyDescent="0.3">
      <c r="I59" s="568" t="s">
        <v>21</v>
      </c>
      <c r="J59" s="563"/>
      <c r="K59" s="275">
        <f ca="1">SUM(K49:K58)</f>
        <v>0</v>
      </c>
    </row>
    <row r="60" spans="1:12" s="272" customFormat="1" ht="15" x14ac:dyDescent="0.25">
      <c r="K60" s="289"/>
    </row>
    <row r="61" spans="1:12" ht="16.5" thickBot="1" x14ac:dyDescent="0.3">
      <c r="A61" s="265" t="s">
        <v>302</v>
      </c>
      <c r="K61" s="293" t="s">
        <v>346</v>
      </c>
      <c r="L61" s="268"/>
    </row>
    <row r="62" spans="1:12" s="272" customFormat="1" ht="15" customHeight="1" thickBot="1" x14ac:dyDescent="0.3">
      <c r="A62" s="563" t="s">
        <v>359</v>
      </c>
      <c r="B62" s="565"/>
      <c r="C62" s="565"/>
      <c r="D62" s="565"/>
      <c r="E62" s="565"/>
      <c r="F62" s="565"/>
      <c r="G62" s="565"/>
      <c r="H62" s="565"/>
      <c r="I62" s="565"/>
      <c r="J62" s="565"/>
      <c r="K62" s="275">
        <f ca="1">K25+K33+K38+K46+K59</f>
        <v>0</v>
      </c>
    </row>
    <row r="63" spans="1:12" s="272" customFormat="1" ht="15" x14ac:dyDescent="0.25">
      <c r="K63" s="289"/>
    </row>
    <row r="64" spans="1:12" x14ac:dyDescent="0.25">
      <c r="A64" s="265" t="s">
        <v>303</v>
      </c>
    </row>
    <row r="65" spans="1:11" s="272" customFormat="1" ht="15" customHeight="1" x14ac:dyDescent="0.25">
      <c r="A65" s="555" t="s">
        <v>357</v>
      </c>
      <c r="B65" s="555"/>
      <c r="C65" s="555"/>
      <c r="D65" s="555"/>
      <c r="E65" s="555"/>
      <c r="F65" s="555" t="s">
        <v>358</v>
      </c>
      <c r="G65" s="555"/>
      <c r="H65" s="555"/>
      <c r="I65" s="555"/>
      <c r="J65" s="555"/>
      <c r="K65" s="267" t="s">
        <v>346</v>
      </c>
    </row>
    <row r="66" spans="1:11" s="272" customFormat="1" ht="15" x14ac:dyDescent="0.25">
      <c r="A66" s="576" t="str">
        <f>Budget!F105</f>
        <v xml:space="preserve"> </v>
      </c>
      <c r="B66" s="576"/>
      <c r="C66" s="576"/>
      <c r="D66" s="576"/>
      <c r="E66" s="576"/>
      <c r="F66" s="558">
        <f ca="1">Budget!F101</f>
        <v>0</v>
      </c>
      <c r="G66" s="558"/>
      <c r="H66" s="558"/>
      <c r="I66" s="558"/>
      <c r="J66" s="558"/>
      <c r="K66" s="270" t="e">
        <f ca="1">ROUND((A66*F66),0)</f>
        <v>#VALUE!</v>
      </c>
    </row>
    <row r="67" spans="1:11" s="272" customFormat="1" ht="15" x14ac:dyDescent="0.25">
      <c r="A67" s="577"/>
      <c r="B67" s="577"/>
      <c r="C67" s="577"/>
      <c r="D67" s="577"/>
      <c r="E67" s="577"/>
      <c r="F67" s="578"/>
      <c r="G67" s="578"/>
      <c r="H67" s="578"/>
      <c r="I67" s="578"/>
      <c r="J67" s="578"/>
      <c r="K67" s="270">
        <f t="shared" ref="K67:K69" si="6">ROUND((A67*F67),0)</f>
        <v>0</v>
      </c>
    </row>
    <row r="68" spans="1:11" s="272" customFormat="1" ht="15" x14ac:dyDescent="0.25">
      <c r="A68" s="577"/>
      <c r="B68" s="577"/>
      <c r="C68" s="577"/>
      <c r="D68" s="577"/>
      <c r="E68" s="577"/>
      <c r="F68" s="578"/>
      <c r="G68" s="578"/>
      <c r="H68" s="578"/>
      <c r="I68" s="578"/>
      <c r="J68" s="578"/>
      <c r="K68" s="270">
        <f t="shared" si="6"/>
        <v>0</v>
      </c>
    </row>
    <row r="69" spans="1:11" s="272" customFormat="1" thickBot="1" x14ac:dyDescent="0.3">
      <c r="A69" s="577"/>
      <c r="B69" s="577"/>
      <c r="C69" s="577"/>
      <c r="D69" s="577"/>
      <c r="E69" s="577"/>
      <c r="F69" s="578"/>
      <c r="G69" s="578"/>
      <c r="H69" s="578"/>
      <c r="I69" s="578"/>
      <c r="J69" s="578"/>
      <c r="K69" s="270">
        <f t="shared" si="6"/>
        <v>0</v>
      </c>
    </row>
    <row r="70" spans="1:11" s="272" customFormat="1" ht="15" customHeight="1" thickBot="1" x14ac:dyDescent="0.3">
      <c r="I70" s="563" t="s">
        <v>27</v>
      </c>
      <c r="J70" s="565"/>
      <c r="K70" s="275" t="e">
        <f ca="1">SUM(K66:K69)</f>
        <v>#VALUE!</v>
      </c>
    </row>
    <row r="71" spans="1:11" s="272" customFormat="1" ht="15" x14ac:dyDescent="0.25">
      <c r="K71" s="289"/>
    </row>
    <row r="72" spans="1:11" ht="16.5" thickBot="1" x14ac:dyDescent="0.3">
      <c r="A72" s="265" t="s">
        <v>304</v>
      </c>
      <c r="K72" s="295" t="s">
        <v>346</v>
      </c>
    </row>
    <row r="73" spans="1:11" s="272" customFormat="1" ht="15" customHeight="1" thickBot="1" x14ac:dyDescent="0.3">
      <c r="A73" s="563" t="s">
        <v>356</v>
      </c>
      <c r="B73" s="565"/>
      <c r="C73" s="565"/>
      <c r="D73" s="565"/>
      <c r="E73" s="565"/>
      <c r="F73" s="565"/>
      <c r="G73" s="565"/>
      <c r="H73" s="565"/>
      <c r="I73" s="565"/>
      <c r="J73" s="565"/>
      <c r="K73" s="275" t="e">
        <f ca="1">K62+K70</f>
        <v>#VALUE!</v>
      </c>
    </row>
    <row r="74" spans="1:11" s="272" customFormat="1" ht="15" x14ac:dyDescent="0.25">
      <c r="K74" s="289"/>
    </row>
    <row r="75" spans="1:11" ht="16.5" thickBot="1" x14ac:dyDescent="0.3">
      <c r="A75" s="265" t="s">
        <v>305</v>
      </c>
      <c r="K75" s="293" t="s">
        <v>346</v>
      </c>
    </row>
    <row r="76" spans="1:11" s="272" customFormat="1" thickBot="1" x14ac:dyDescent="0.3">
      <c r="A76" s="574"/>
      <c r="B76" s="575"/>
      <c r="C76" s="575"/>
      <c r="D76" s="575"/>
      <c r="E76" s="575"/>
      <c r="F76" s="575"/>
      <c r="G76" s="575"/>
      <c r="H76" s="575"/>
      <c r="I76" s="575"/>
      <c r="J76" s="575"/>
      <c r="K76" s="245"/>
    </row>
    <row r="78" spans="1:11" ht="16.5" thickBot="1" x14ac:dyDescent="0.3"/>
    <row r="79" spans="1:11" x14ac:dyDescent="0.25">
      <c r="A79" s="296" t="s">
        <v>364</v>
      </c>
      <c r="B79" s="297"/>
      <c r="C79" s="297"/>
      <c r="D79" s="297"/>
      <c r="E79" s="297"/>
      <c r="F79" s="297"/>
      <c r="G79" s="297"/>
      <c r="H79" s="297"/>
      <c r="I79" s="297"/>
      <c r="J79" s="297"/>
      <c r="K79" s="298"/>
    </row>
    <row r="80" spans="1:11" x14ac:dyDescent="0.25">
      <c r="A80" s="299" t="s">
        <v>369</v>
      </c>
      <c r="B80" s="300"/>
      <c r="C80" s="300"/>
      <c r="D80" s="300"/>
      <c r="E80" s="300"/>
      <c r="F80" s="300"/>
      <c r="G80" s="300"/>
      <c r="H80" s="300"/>
      <c r="I80" s="300"/>
      <c r="J80" s="300"/>
      <c r="K80" s="301"/>
    </row>
    <row r="81" spans="1:11" x14ac:dyDescent="0.25">
      <c r="A81" s="299" t="s">
        <v>368</v>
      </c>
      <c r="B81" s="300"/>
      <c r="C81" s="300"/>
      <c r="D81" s="300"/>
      <c r="E81" s="300"/>
      <c r="F81" s="300"/>
      <c r="G81" s="300"/>
      <c r="H81" s="300"/>
      <c r="I81" s="300"/>
      <c r="J81" s="300"/>
      <c r="K81" s="301"/>
    </row>
    <row r="82" spans="1:11" x14ac:dyDescent="0.25">
      <c r="A82" s="299" t="s">
        <v>385</v>
      </c>
      <c r="B82" s="300"/>
      <c r="C82" s="300"/>
      <c r="D82" s="300"/>
      <c r="E82" s="300"/>
      <c r="F82" s="300"/>
      <c r="G82" s="300"/>
      <c r="H82" s="300"/>
      <c r="I82" s="300"/>
      <c r="J82" s="300"/>
      <c r="K82" s="301"/>
    </row>
    <row r="83" spans="1:11" ht="16.5" thickBot="1" x14ac:dyDescent="0.3">
      <c r="A83" s="302" t="s">
        <v>378</v>
      </c>
      <c r="B83" s="303"/>
      <c r="C83" s="303"/>
      <c r="D83" s="303"/>
      <c r="E83" s="303"/>
      <c r="F83" s="303"/>
      <c r="G83" s="303"/>
      <c r="H83" s="303"/>
      <c r="I83" s="303"/>
      <c r="J83" s="303"/>
      <c r="K83" s="304"/>
    </row>
  </sheetData>
  <sheetProtection algorithmName="SHA-512" hashValue="qP1NC1axsTG2l7MRzWeEo1tQExPpZ8pqtYGfMEJKRnDwvA6MyAI/dNTD3pZgut2wbLTTCCYIhfDITylDeMP0ng==" saltValue="/Mi/fZ/unN+szJdRooLoDQ==" spinCount="100000" sheet="1" objects="1" scenarios="1" selectLockedCells="1"/>
  <mergeCells count="79">
    <mergeCell ref="F10:H10"/>
    <mergeCell ref="I70:J70"/>
    <mergeCell ref="A73:J73"/>
    <mergeCell ref="A76:J76"/>
    <mergeCell ref="A66:E66"/>
    <mergeCell ref="A67:E67"/>
    <mergeCell ref="A68:E68"/>
    <mergeCell ref="A69:E69"/>
    <mergeCell ref="F66:J66"/>
    <mergeCell ref="F67:J67"/>
    <mergeCell ref="F68:J68"/>
    <mergeCell ref="F69:J69"/>
    <mergeCell ref="A57:J57"/>
    <mergeCell ref="A58:J58"/>
    <mergeCell ref="I59:J59"/>
    <mergeCell ref="A62:J62"/>
    <mergeCell ref="A65:E65"/>
    <mergeCell ref="F65:J65"/>
    <mergeCell ref="H46:J46"/>
    <mergeCell ref="A36:J36"/>
    <mergeCell ref="A37:J37"/>
    <mergeCell ref="A41:J41"/>
    <mergeCell ref="A45:J45"/>
    <mergeCell ref="A42:J42"/>
    <mergeCell ref="A43:J43"/>
    <mergeCell ref="A56:J56"/>
    <mergeCell ref="A54:J54"/>
    <mergeCell ref="A55:J55"/>
    <mergeCell ref="A50:J50"/>
    <mergeCell ref="A51:J51"/>
    <mergeCell ref="A52:J52"/>
    <mergeCell ref="A53:J53"/>
    <mergeCell ref="I19:J19"/>
    <mergeCell ref="I20:J20"/>
    <mergeCell ref="I21:J21"/>
    <mergeCell ref="I22:J22"/>
    <mergeCell ref="I23:J23"/>
    <mergeCell ref="A27:J27"/>
    <mergeCell ref="A28:J28"/>
    <mergeCell ref="A29:J29"/>
    <mergeCell ref="A30:J30"/>
    <mergeCell ref="A31:J31"/>
    <mergeCell ref="G23:H23"/>
    <mergeCell ref="B18:C18"/>
    <mergeCell ref="G20:H20"/>
    <mergeCell ref="G21:H21"/>
    <mergeCell ref="G22:H22"/>
    <mergeCell ref="I11:J11"/>
    <mergeCell ref="H24:J24"/>
    <mergeCell ref="H25:J25"/>
    <mergeCell ref="B19:C19"/>
    <mergeCell ref="B20:C20"/>
    <mergeCell ref="B21:C21"/>
    <mergeCell ref="B23:C23"/>
    <mergeCell ref="B22:C22"/>
    <mergeCell ref="I14:J14"/>
    <mergeCell ref="I15:J15"/>
    <mergeCell ref="I16:J16"/>
    <mergeCell ref="I17:J17"/>
    <mergeCell ref="I18:J18"/>
    <mergeCell ref="B13:C13"/>
    <mergeCell ref="G18:H18"/>
    <mergeCell ref="G19:H19"/>
    <mergeCell ref="A49:J49"/>
    <mergeCell ref="C38:D38"/>
    <mergeCell ref="A44:J44"/>
    <mergeCell ref="C47:D47"/>
    <mergeCell ref="I13:J13"/>
    <mergeCell ref="G14:H14"/>
    <mergeCell ref="G15:H15"/>
    <mergeCell ref="G16:H16"/>
    <mergeCell ref="G17:H17"/>
    <mergeCell ref="G13:H13"/>
    <mergeCell ref="A32:J32"/>
    <mergeCell ref="B14:C14"/>
    <mergeCell ref="B15:C15"/>
    <mergeCell ref="B16:C16"/>
    <mergeCell ref="B17:C17"/>
    <mergeCell ref="B24:D24"/>
  </mergeCells>
  <phoneticPr fontId="9" type="noConversion"/>
  <pageMargins left="0.75" right="0.75" top="1" bottom="1" header="0.5" footer="0.5"/>
  <pageSetup scale="55" orientation="portrait" horizontalDpi="4294967292" verticalDpi="4294967292"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L83"/>
  <sheetViews>
    <sheetView workbookViewId="0">
      <selection activeCell="A16" sqref="A16"/>
    </sheetView>
  </sheetViews>
  <sheetFormatPr defaultColWidth="11" defaultRowHeight="15.75" x14ac:dyDescent="0.25"/>
  <cols>
    <col min="1" max="1" width="30.875" customWidth="1"/>
    <col min="2" max="8" width="10.875" customWidth="1"/>
    <col min="9" max="9" width="14.875" customWidth="1"/>
    <col min="10" max="10" width="15" customWidth="1"/>
    <col min="11" max="11" width="14.875" style="246" customWidth="1"/>
  </cols>
  <sheetData>
    <row r="1" spans="1:11" x14ac:dyDescent="0.25">
      <c r="A1" s="126" t="s">
        <v>394</v>
      </c>
    </row>
    <row r="3" spans="1:11" x14ac:dyDescent="0.25">
      <c r="A3" s="126" t="s">
        <v>297</v>
      </c>
    </row>
    <row r="4" spans="1:11" s="221" customFormat="1" ht="15" x14ac:dyDescent="0.25">
      <c r="A4" s="250" t="s">
        <v>11</v>
      </c>
      <c r="B4" s="249" t="s">
        <v>363</v>
      </c>
      <c r="C4" s="249" t="s">
        <v>332</v>
      </c>
      <c r="D4" s="249" t="s">
        <v>333</v>
      </c>
      <c r="E4" s="249" t="s">
        <v>334</v>
      </c>
      <c r="F4" s="249" t="s">
        <v>335</v>
      </c>
      <c r="G4" s="249" t="s">
        <v>336</v>
      </c>
      <c r="H4" s="249" t="s">
        <v>337</v>
      </c>
      <c r="I4" s="249" t="s">
        <v>338</v>
      </c>
      <c r="J4" s="249" t="s">
        <v>339</v>
      </c>
      <c r="K4" s="249" t="s">
        <v>340</v>
      </c>
    </row>
    <row r="5" spans="1:11" s="217" customFormat="1" ht="15" x14ac:dyDescent="0.25">
      <c r="A5" s="222" t="str">
        <f>IF(B5&gt;0,(INDEX('Salary &amp; Fringe'!$A$1:$A$300,MATCH("Senior Person 1",'Salary &amp; Fringe'!$E$1:$E$300,FALSE),1)),"")</f>
        <v/>
      </c>
      <c r="B5" s="247">
        <f>IFERROR(IF(F5&gt;0, C5, D5+E5),0)</f>
        <v>0</v>
      </c>
      <c r="C5" s="247">
        <f>IFERROR(IF(F5&gt;0, (I5/SUM(F5:H5)*12),0),0)</f>
        <v>0</v>
      </c>
      <c r="D5" s="247">
        <f>IFERROR(IF($C5=0, (I5/SUM(F5:H5)*9),0),0)</f>
        <v>0</v>
      </c>
      <c r="E5" s="247">
        <f>IFERROR(IF($C5=0, (I5/SUM(F5:H5)*3),0),0)</f>
        <v>0</v>
      </c>
      <c r="F5" s="251">
        <f>SUMIFS('Salary &amp; Fringe'!$N$1:'Salary &amp; Fringe'!$N$300,'Salary &amp; Fringe'!$E$1:'Salary &amp; Fringe'!$E$300,"Senior Person 1",'Salary &amp; Fringe'!$F$1:'Salary &amp; Fringe'!$F$300,"Calendar*")</f>
        <v>0</v>
      </c>
      <c r="G5" s="251">
        <f>SUMIFS('Salary &amp; Fringe'!$N$1:'Salary &amp; Fringe'!$N$300,'Salary &amp; Fringe'!$E$1:'Salary &amp; Fringe'!$E$300,"Senior Person 1",'Salary &amp; Fringe'!$F$1:'Salary &amp; Fringe'!$F$300,"Academic")</f>
        <v>0</v>
      </c>
      <c r="H5" s="251">
        <f>SUMIFS('Salary &amp; Fringe'!$N$1:'Salary &amp; Fringe'!$N$300,'Salary &amp; Fringe'!$E$1:'Salary &amp; Fringe'!$E$300,"Senior Person 1",'Salary &amp; Fringe'!$F$1:'Salary &amp; Fringe'!$F$300,"Summer")</f>
        <v>0</v>
      </c>
      <c r="I5" s="247">
        <f>SUMIF('Salary &amp; Fringe'!$E$1:$E$300,"Senior Person 1",'Salary &amp; Fringe'!$X$1:$X$300)</f>
        <v>0</v>
      </c>
      <c r="J5" s="247">
        <f>SUMIF('Salary &amp; Fringe'!$E$1:$E$300,"Senior Person 1",'Salary &amp; Fringe'!$AH$1:$AH$300)</f>
        <v>0</v>
      </c>
      <c r="K5" s="247">
        <f>I5+J5</f>
        <v>0</v>
      </c>
    </row>
    <row r="6" spans="1:11" s="217" customFormat="1" ht="15" x14ac:dyDescent="0.25">
      <c r="A6" s="222" t="str">
        <f>IF(B6&gt;0,(INDEX('Salary &amp; Fringe'!$A$1:$A$300,MATCH("Senior Person 2",'Salary &amp; Fringe'!$E$1:$E$300,FALSE),1)),"")</f>
        <v/>
      </c>
      <c r="B6" s="247">
        <f t="shared" ref="B6:B9" si="0">IFERROR(IF(F6&gt;0, C6, D6+E6),0)</f>
        <v>0</v>
      </c>
      <c r="C6" s="247">
        <f t="shared" ref="C6:C9" si="1">IFERROR(IF(F6&gt;0, (I6/SUM(F6:H6)*12),0),0)</f>
        <v>0</v>
      </c>
      <c r="D6" s="247">
        <f t="shared" ref="D6:D9" si="2">IFERROR(IF($C6=0, (I6/SUM(F6:H6)*9),0),0)</f>
        <v>0</v>
      </c>
      <c r="E6" s="247">
        <f t="shared" ref="E6:E9" si="3">IFERROR(IF($C6=0, (I6/SUM(F6:H6)*3),0),0)</f>
        <v>0</v>
      </c>
      <c r="F6" s="251">
        <f>SUMIFS('Salary &amp; Fringe'!$N$1:'Salary &amp; Fringe'!$N$300,'Salary &amp; Fringe'!$E$1:'Salary &amp; Fringe'!$E$300,"Senior Person 2",'Salary &amp; Fringe'!$F$1:'Salary &amp; Fringe'!$F$300,"Calendar*")</f>
        <v>0</v>
      </c>
      <c r="G6" s="251">
        <f>SUMIFS('Salary &amp; Fringe'!$N$1:'Salary &amp; Fringe'!$N$300,'Salary &amp; Fringe'!$E$1:'Salary &amp; Fringe'!$E$300,"Senior Person 2",'Salary &amp; Fringe'!$F$1:'Salary &amp; Fringe'!$F$300,"Academic")</f>
        <v>0</v>
      </c>
      <c r="H6" s="251">
        <f>SUMIFS('Salary &amp; Fringe'!$N$1:'Salary &amp; Fringe'!$N$300,'Salary &amp; Fringe'!$E$1:'Salary &amp; Fringe'!$E$300,"Senior Person 2",'Salary &amp; Fringe'!$F$1:'Salary &amp; Fringe'!$F$300,"Summer")</f>
        <v>0</v>
      </c>
      <c r="I6" s="247">
        <f>SUMIF('Salary &amp; Fringe'!$E$1:$E$300,"Senior Person 2",'Salary &amp; Fringe'!$X$1:$X$300)</f>
        <v>0</v>
      </c>
      <c r="J6" s="247">
        <f>SUMIF('Salary &amp; Fringe'!$E$1:$E$300,"Senior Person 2",'Salary &amp; Fringe'!$AH$1:$AH$300)</f>
        <v>0</v>
      </c>
      <c r="K6" s="247">
        <f t="shared" ref="K6:K10" si="4">I6+J6</f>
        <v>0</v>
      </c>
    </row>
    <row r="7" spans="1:11" s="217" customFormat="1" ht="15" x14ac:dyDescent="0.25">
      <c r="A7" s="222" t="str">
        <f>IF(B7&gt;0,(INDEX('Salary &amp; Fringe'!$A$1:$A$300,MATCH("Senior Person 3",'Salary &amp; Fringe'!$E$1:$E$300,FALSE),1)),"")</f>
        <v/>
      </c>
      <c r="B7" s="247">
        <f t="shared" si="0"/>
        <v>0</v>
      </c>
      <c r="C7" s="247">
        <f t="shared" si="1"/>
        <v>0</v>
      </c>
      <c r="D7" s="247">
        <f t="shared" si="2"/>
        <v>0</v>
      </c>
      <c r="E7" s="247">
        <f t="shared" si="3"/>
        <v>0</v>
      </c>
      <c r="F7" s="251">
        <f>SUMIFS('Salary &amp; Fringe'!$N$1:'Salary &amp; Fringe'!$N$300,'Salary &amp; Fringe'!$E$1:'Salary &amp; Fringe'!$E$300,"Senior Person 3",'Salary &amp; Fringe'!$F$1:'Salary &amp; Fringe'!$F$300,"Calendar*")</f>
        <v>0</v>
      </c>
      <c r="G7" s="251">
        <f>SUMIFS('Salary &amp; Fringe'!$N$1:'Salary &amp; Fringe'!$N$300,'Salary &amp; Fringe'!$E$1:'Salary &amp; Fringe'!$E$300,"Senior Person 3",'Salary &amp; Fringe'!$F$1:'Salary &amp; Fringe'!$F$300,"Academic")</f>
        <v>0</v>
      </c>
      <c r="H7" s="251">
        <f>SUMIFS('Salary &amp; Fringe'!$N$1:'Salary &amp; Fringe'!$N$300,'Salary &amp; Fringe'!$E$1:'Salary &amp; Fringe'!$E$300,"Senior Person 3",'Salary &amp; Fringe'!$F$1:'Salary &amp; Fringe'!$F$300,"Summer")</f>
        <v>0</v>
      </c>
      <c r="I7" s="247">
        <f>SUMIF('Salary &amp; Fringe'!$E$1:$E$300,"Senior Person 3",'Salary &amp; Fringe'!$X$1:$X$300)</f>
        <v>0</v>
      </c>
      <c r="J7" s="247">
        <f>SUMIF('Salary &amp; Fringe'!$E$1:$E$300,"Senior Person 3",'Salary &amp; Fringe'!$AH$1:$AH$300)</f>
        <v>0</v>
      </c>
      <c r="K7" s="247">
        <f t="shared" si="4"/>
        <v>0</v>
      </c>
    </row>
    <row r="8" spans="1:11" s="217" customFormat="1" ht="15" x14ac:dyDescent="0.25">
      <c r="A8" s="222" t="str">
        <f>IF(B8&gt;0,(INDEX('Salary &amp; Fringe'!$A$1:$A$300,MATCH("Senior Person 4",'Salary &amp; Fringe'!$E$1:$E$300,FALSE),1)),"")</f>
        <v/>
      </c>
      <c r="B8" s="247">
        <f t="shared" si="0"/>
        <v>0</v>
      </c>
      <c r="C8" s="247">
        <f t="shared" si="1"/>
        <v>0</v>
      </c>
      <c r="D8" s="247">
        <f t="shared" si="2"/>
        <v>0</v>
      </c>
      <c r="E8" s="247">
        <f t="shared" si="3"/>
        <v>0</v>
      </c>
      <c r="F8" s="251">
        <f>SUMIFS('Salary &amp; Fringe'!$N$1:'Salary &amp; Fringe'!$N$300,'Salary &amp; Fringe'!$E$1:'Salary &amp; Fringe'!$E$300,"Senior Person 4",'Salary &amp; Fringe'!$F$1:'Salary &amp; Fringe'!$F$300,"Calendar*")</f>
        <v>0</v>
      </c>
      <c r="G8" s="251">
        <f>SUMIFS('Salary &amp; Fringe'!$N$1:'Salary &amp; Fringe'!$N$300,'Salary &amp; Fringe'!$E$1:'Salary &amp; Fringe'!$E$300,"Senior Person 4",'Salary &amp; Fringe'!$F$1:'Salary &amp; Fringe'!$F$300,"Academic")</f>
        <v>0</v>
      </c>
      <c r="H8" s="251">
        <f>SUMIFS('Salary &amp; Fringe'!$N$1:'Salary &amp; Fringe'!$N$300,'Salary &amp; Fringe'!$E$1:'Salary &amp; Fringe'!$E$300,"Senior Person 4",'Salary &amp; Fringe'!$F$1:'Salary &amp; Fringe'!$F$300,"Summer")</f>
        <v>0</v>
      </c>
      <c r="I8" s="247">
        <f>SUMIF('Salary &amp; Fringe'!$E$1:$E$300,"Senior Person 4",'Salary &amp; Fringe'!$X$1:$X$300)</f>
        <v>0</v>
      </c>
      <c r="J8" s="247">
        <f>SUMIF('Salary &amp; Fringe'!$E$1:$E$300,"Senior Person 4",'Salary &amp; Fringe'!$AH$1:$AH$300)</f>
        <v>0</v>
      </c>
      <c r="K8" s="247">
        <f t="shared" si="4"/>
        <v>0</v>
      </c>
    </row>
    <row r="9" spans="1:11" s="217" customFormat="1" ht="15" x14ac:dyDescent="0.25">
      <c r="A9" s="222" t="str">
        <f>IF(B9&gt;0,(INDEX('Salary &amp; Fringe'!$A$1:$A$300,MATCH("Senior Person 5",'Salary &amp; Fringe'!$E$1:$E$300,FALSE),1)),"")</f>
        <v/>
      </c>
      <c r="B9" s="247">
        <f t="shared" si="0"/>
        <v>0</v>
      </c>
      <c r="C9" s="247">
        <f t="shared" si="1"/>
        <v>0</v>
      </c>
      <c r="D9" s="247">
        <f t="shared" si="2"/>
        <v>0</v>
      </c>
      <c r="E9" s="247">
        <f t="shared" si="3"/>
        <v>0</v>
      </c>
      <c r="F9" s="251">
        <f>SUMIFS('Salary &amp; Fringe'!$N$1:'Salary &amp; Fringe'!$N$300,'Salary &amp; Fringe'!$E$1:'Salary &amp; Fringe'!$E$300,"Senior Person 5",'Salary &amp; Fringe'!$F$1:'Salary &amp; Fringe'!$F$300,"Calendar*")</f>
        <v>0</v>
      </c>
      <c r="G9" s="251">
        <f>SUMIFS('Salary &amp; Fringe'!$N$1:'Salary &amp; Fringe'!$N$300,'Salary &amp; Fringe'!$E$1:'Salary &amp; Fringe'!$E$300,"Senior Person 5",'Salary &amp; Fringe'!$F$1:'Salary &amp; Fringe'!$F$300,"Academic")</f>
        <v>0</v>
      </c>
      <c r="H9" s="251">
        <f>SUMIFS('Salary &amp; Fringe'!$N$1:'Salary &amp; Fringe'!$N$300,'Salary &amp; Fringe'!$E$1:'Salary &amp; Fringe'!$E$300,"Senior Person 5",'Salary &amp; Fringe'!$F$1:'Salary &amp; Fringe'!$F$300,"Summer")</f>
        <v>0</v>
      </c>
      <c r="I9" s="247">
        <f>SUMIF('Salary &amp; Fringe'!$E$1:$E$300,"Senior Person 5",'Salary &amp; Fringe'!$X$1:$X$300)</f>
        <v>0</v>
      </c>
      <c r="J9" s="247">
        <f>SUMIF('Salary &amp; Fringe'!$E$1:$E$300,"Senior Person 5",'Salary &amp; Fringe'!$AH$1:$AH$300)</f>
        <v>0</v>
      </c>
      <c r="K9" s="247">
        <f t="shared" si="4"/>
        <v>0</v>
      </c>
    </row>
    <row r="10" spans="1:11" s="217" customFormat="1" thickBot="1" x14ac:dyDescent="0.3">
      <c r="A10" s="224"/>
      <c r="B10" s="241"/>
      <c r="C10" s="241"/>
      <c r="D10" s="241"/>
      <c r="E10" s="241"/>
      <c r="F10" s="583" t="s">
        <v>366</v>
      </c>
      <c r="G10" s="584"/>
      <c r="H10" s="585"/>
      <c r="I10" s="247">
        <f>SUMIF('Salary &amp; Fringe'!$E$1:$E$300,"Senior (Other)",'Salary &amp; Fringe'!$X$1:$X$300)</f>
        <v>0</v>
      </c>
      <c r="J10" s="247">
        <f>SUMIF('Salary &amp; Fringe'!$E$1:$E$300,"Senior (Other)",'Salary &amp; Fringe'!$AH$1:$AH$300)</f>
        <v>0</v>
      </c>
      <c r="K10" s="247">
        <f t="shared" si="4"/>
        <v>0</v>
      </c>
    </row>
    <row r="11" spans="1:11" s="217" customFormat="1" thickBot="1" x14ac:dyDescent="0.3">
      <c r="I11" s="583" t="s">
        <v>361</v>
      </c>
      <c r="J11" s="586"/>
      <c r="K11" s="235">
        <f>SUM(K5:K10)</f>
        <v>0</v>
      </c>
    </row>
    <row r="12" spans="1:11" x14ac:dyDescent="0.25">
      <c r="A12" s="126" t="s">
        <v>102</v>
      </c>
    </row>
    <row r="13" spans="1:11" s="221" customFormat="1" ht="15" x14ac:dyDescent="0.25">
      <c r="A13" s="223" t="s">
        <v>341</v>
      </c>
      <c r="B13" s="587" t="s">
        <v>342</v>
      </c>
      <c r="C13" s="587"/>
      <c r="D13" s="249" t="s">
        <v>343</v>
      </c>
      <c r="E13" s="249" t="s">
        <v>344</v>
      </c>
      <c r="F13" s="249" t="s">
        <v>345</v>
      </c>
      <c r="G13" s="587" t="s">
        <v>338</v>
      </c>
      <c r="H13" s="587"/>
      <c r="I13" s="587" t="s">
        <v>339</v>
      </c>
      <c r="J13" s="587"/>
      <c r="K13" s="249" t="s">
        <v>346</v>
      </c>
    </row>
    <row r="14" spans="1:11" s="217" customFormat="1" ht="15" x14ac:dyDescent="0.25">
      <c r="A14" s="239">
        <f>SUMIFS('Salary &amp; Fringe'!$I$1:$I$300,'Salary &amp; Fringe'!$E$1:$E$300,"Postdoc", 'Salary &amp; Fringe'!$N$1:'Salary &amp; Fringe'!$N$300, "&gt;0")</f>
        <v>0</v>
      </c>
      <c r="B14" s="580" t="s">
        <v>103</v>
      </c>
      <c r="C14" s="580"/>
      <c r="D14" s="251">
        <f>SUMIFS('Salary &amp; Fringe'!$N$1:'Salary &amp; Fringe'!$N$300,'Salary &amp; Fringe'!$E$1:'Salary &amp; Fringe'!$E$300,"Postdoc",'Salary &amp; Fringe'!$F$1:'Salary &amp; Fringe'!$F$300,"Calendar*")+SUMIFS('Salary &amp; Fringe'!$N$1:'Salary &amp; Fringe'!$N$300,'Salary &amp; Fringe'!$E$1:'Salary &amp; Fringe'!$E$300,"Postdoc",'Salary &amp; Fringe'!$F$1:'Salary &amp; Fringe'!$F$300,"Hourly")</f>
        <v>0</v>
      </c>
      <c r="E14" s="251">
        <f>SUMIFS('Salary &amp; Fringe'!$N$1:'Salary &amp; Fringe'!$N$300,'Salary &amp; Fringe'!$E$1:'Salary &amp; Fringe'!$E$300,"Postdoc",'Salary &amp; Fringe'!$F$1:'Salary &amp; Fringe'!$F$300,"Academic")</f>
        <v>0</v>
      </c>
      <c r="F14" s="251">
        <f>SUMIFS('Salary &amp; Fringe'!$N$1:'Salary &amp; Fringe'!$N$300,'Salary &amp; Fringe'!$E$1:'Salary &amp; Fringe'!$E$300,"Postdoc",'Salary &amp; Fringe'!$F$1:'Salary &amp; Fringe'!$F$300,"Summer")</f>
        <v>0</v>
      </c>
      <c r="G14" s="581">
        <f>SUMIF('Salary &amp; Fringe'!$E$1:$E$300,"Postdoc",'Salary &amp; Fringe'!$X$1:$X$300)</f>
        <v>0</v>
      </c>
      <c r="H14" s="582"/>
      <c r="I14" s="581">
        <f>SUMIF('Salary &amp; Fringe'!$E$1:$E$300,"Postdoc",'Salary &amp; Fringe'!$AH$1:$AH$300)</f>
        <v>0</v>
      </c>
      <c r="J14" s="582"/>
      <c r="K14" s="247">
        <f>G14+I14</f>
        <v>0</v>
      </c>
    </row>
    <row r="15" spans="1:11" s="217" customFormat="1" ht="15" x14ac:dyDescent="0.25">
      <c r="A15" s="243"/>
      <c r="B15" s="580" t="s">
        <v>105</v>
      </c>
      <c r="C15" s="580"/>
      <c r="D15" s="251">
        <f>SUMIFS('Salary &amp; Fringe'!$N$1:'Salary &amp; Fringe'!$N$300,'Salary &amp; Fringe'!$E$1:'Salary &amp; Fringe'!$E$300,"Grad",'Salary &amp; Fringe'!$F$1:'Salary &amp; Fringe'!$F$300,"Calendar*")+SUMIFS('Salary &amp; Fringe'!$N$1:'Salary &amp; Fringe'!$N$300,'Salary &amp; Fringe'!$E$1:'Salary &amp; Fringe'!$E$300,"Grad",'Salary &amp; Fringe'!$F$1:'Salary &amp; Fringe'!$F$300,"Hourly")</f>
        <v>0</v>
      </c>
      <c r="E15" s="251">
        <f>SUMIFS('Salary &amp; Fringe'!$N$1:'Salary &amp; Fringe'!$N$300,'Salary &amp; Fringe'!$E$1:'Salary &amp; Fringe'!$E$300,"Grad",'Salary &amp; Fringe'!$F$1:'Salary &amp; Fringe'!$F$300,"Academic")*2</f>
        <v>0</v>
      </c>
      <c r="F15" s="251">
        <f>SUMIFS('Salary &amp; Fringe'!$N$1:'Salary &amp; Fringe'!$N$300,'Salary &amp; Fringe'!$E$1:'Salary &amp; Fringe'!$E$300,"Grad",'Salary &amp; Fringe'!$F$1:'Salary &amp; Fringe'!$F$300,"Summer")*2</f>
        <v>0</v>
      </c>
      <c r="G15" s="588">
        <f>SUMIF('Salary &amp; Fringe'!$E$1:$E$300,"Grad",'Salary &amp; Fringe'!$X$1:$X$300)</f>
        <v>0</v>
      </c>
      <c r="H15" s="588"/>
      <c r="I15" s="588">
        <f>SUMIF('Salary &amp; Fringe'!$E$1:$E$300,"Grad",'Salary &amp; Fringe'!$AH$1:$AH$300)</f>
        <v>0</v>
      </c>
      <c r="J15" s="588"/>
      <c r="K15" s="247">
        <f t="shared" ref="K15:K23" si="5">G15+I15</f>
        <v>0</v>
      </c>
    </row>
    <row r="16" spans="1:11" s="217" customFormat="1" ht="15" x14ac:dyDescent="0.25">
      <c r="A16" s="243"/>
      <c r="B16" s="580" t="s">
        <v>367</v>
      </c>
      <c r="C16" s="580"/>
      <c r="D16" s="251">
        <f>SUMIF('Salary &amp; Fringe'!$E$1:$E$300,"Undergrad",'Salary &amp; Fringe'!$N$1:$N$300)</f>
        <v>0</v>
      </c>
      <c r="E16" s="251">
        <v>0</v>
      </c>
      <c r="F16" s="251">
        <v>0</v>
      </c>
      <c r="G16" s="588">
        <f>SUMIF('Salary &amp; Fringe'!$E$1:$E$300,"Undergrad",'Salary &amp; Fringe'!$X$1:$X$300)</f>
        <v>0</v>
      </c>
      <c r="H16" s="588"/>
      <c r="I16" s="588">
        <f>SUMIF('Salary &amp; Fringe'!$E$1:$E$300,"Undergrad",'Salary &amp; Fringe'!$AH$1:$AH$300)</f>
        <v>0</v>
      </c>
      <c r="J16" s="588"/>
      <c r="K16" s="247">
        <f t="shared" si="5"/>
        <v>0</v>
      </c>
    </row>
    <row r="17" spans="1:11" s="217" customFormat="1" ht="15" x14ac:dyDescent="0.25">
      <c r="A17" s="251">
        <f>SUMIFS('Salary &amp; Fringe'!$I$1:$I$300,'Salary &amp; Fringe'!$E$1:$E$300,"Clerical", 'Salary &amp; Fringe'!$N$1:'Salary &amp; Fringe'!$N$300, "&gt;0")</f>
        <v>0</v>
      </c>
      <c r="B17" s="580" t="s">
        <v>348</v>
      </c>
      <c r="C17" s="580"/>
      <c r="D17" s="251">
        <f>SUMIFS('Salary &amp; Fringe'!$N$1:'Salary &amp; Fringe'!$N$300,'Salary &amp; Fringe'!$E$1:'Salary &amp; Fringe'!$E$300,"Clerical",'Salary &amp; Fringe'!$F$1:'Salary &amp; Fringe'!$F$300,"Calendar*")+SUMIFS('Salary &amp; Fringe'!$N$1:'Salary &amp; Fringe'!$N$300,'Salary &amp; Fringe'!$E$1:'Salary &amp; Fringe'!$E$300,"Clerical",'Salary &amp; Fringe'!$F$1:'Salary &amp; Fringe'!$F$300,"Hourly")</f>
        <v>0</v>
      </c>
      <c r="E17" s="251">
        <f>SUMIFS('Salary &amp; Fringe'!$N$1:'Salary &amp; Fringe'!$N$300,'Salary &amp; Fringe'!$E$1:'Salary &amp; Fringe'!$E$300,"Clerical",'Salary &amp; Fringe'!$F$1:'Salary &amp; Fringe'!$F$300,"Academic")</f>
        <v>0</v>
      </c>
      <c r="F17" s="251">
        <f>SUMIFS('Salary &amp; Fringe'!$N$1:'Salary &amp; Fringe'!$N$300,'Salary &amp; Fringe'!$E$1:'Salary &amp; Fringe'!$E$300,"Clerical",'Salary &amp; Fringe'!$F$1:'Salary &amp; Fringe'!$F$300,"Summer")</f>
        <v>0</v>
      </c>
      <c r="G17" s="588">
        <f>SUMIF('Salary &amp; Fringe'!$E$1:$E$300,"Clerical",'Salary &amp; Fringe'!$X$1:$X$300)</f>
        <v>0</v>
      </c>
      <c r="H17" s="588"/>
      <c r="I17" s="588">
        <f>SUMIF('Salary &amp; Fringe'!$E$1:$E$300,"Clerical",'Salary &amp; Fringe'!$AH$1:$AH$300)</f>
        <v>0</v>
      </c>
      <c r="J17" s="588"/>
      <c r="K17" s="247">
        <f t="shared" si="5"/>
        <v>0</v>
      </c>
    </row>
    <row r="18" spans="1:11" s="217" customFormat="1" ht="15" x14ac:dyDescent="0.25">
      <c r="A18" s="251">
        <f>SUMIFS('Salary &amp; Fringe'!$I$1:$I$300,'Salary &amp; Fringe'!$E$1:$E$300,"Other 1", 'Salary &amp; Fringe'!$N$1:'Salary &amp; Fringe'!$N$300, "&gt;0")</f>
        <v>0</v>
      </c>
      <c r="B18" s="580" t="str">
        <f>IF(G18&gt;0,(INDEX('Salary &amp; Fringe'!$B$1:$B$300,MATCH("Other 1",'Salary &amp; Fringe'!$E$1:$E$300,FALSE),1)),"")</f>
        <v/>
      </c>
      <c r="C18" s="580"/>
      <c r="D18" s="251">
        <f>SUMIFS('Salary &amp; Fringe'!$N$1:'Salary &amp; Fringe'!$N$300,'Salary &amp; Fringe'!$E$1:'Salary &amp; Fringe'!$E$300,"Other 1",'Salary &amp; Fringe'!$F$1:'Salary &amp; Fringe'!$F$300,"Calendar*")+SUMIFS('Salary &amp; Fringe'!$N$1:'Salary &amp; Fringe'!$N$300,'Salary &amp; Fringe'!$E$1:'Salary &amp; Fringe'!$E$300,"Other 1",'Salary &amp; Fringe'!$F$1:'Salary &amp; Fringe'!$F$300,"Hourly")</f>
        <v>0</v>
      </c>
      <c r="E18" s="251">
        <f>SUMIFS('Salary &amp; Fringe'!$N$1:'Salary &amp; Fringe'!$N$300,'Salary &amp; Fringe'!$E$1:'Salary &amp; Fringe'!$E$300,"Other 1",'Salary &amp; Fringe'!$F$1:'Salary &amp; Fringe'!$F$300,"Academic")</f>
        <v>0</v>
      </c>
      <c r="F18" s="251">
        <f>SUMIFS('Salary &amp; Fringe'!$N$1:'Salary &amp; Fringe'!$N$300,'Salary &amp; Fringe'!$E$1:'Salary &amp; Fringe'!$E$300,"Other 1",'Salary &amp; Fringe'!$F$1:'Salary &amp; Fringe'!$F$300,"Summer")</f>
        <v>0</v>
      </c>
      <c r="G18" s="588">
        <f>SUMIF('Salary &amp; Fringe'!$E$1:$E$300,"Other 1",'Salary &amp; Fringe'!$X$1:$X$300)</f>
        <v>0</v>
      </c>
      <c r="H18" s="588"/>
      <c r="I18" s="588">
        <f>SUMIF('Salary &amp; Fringe'!$E$1:$E$300,"Other 1",'Salary &amp; Fringe'!$AH$1:$AH$300)</f>
        <v>0</v>
      </c>
      <c r="J18" s="588"/>
      <c r="K18" s="247">
        <f t="shared" si="5"/>
        <v>0</v>
      </c>
    </row>
    <row r="19" spans="1:11" s="217" customFormat="1" ht="15" x14ac:dyDescent="0.25">
      <c r="A19" s="251">
        <f>SUMIFS('Salary &amp; Fringe'!$I$1:$I$300,'Salary &amp; Fringe'!$E$1:$E$300,"Other 2", 'Salary &amp; Fringe'!$N$1:'Salary &amp; Fringe'!$N$300, "&gt;0")</f>
        <v>0</v>
      </c>
      <c r="B19" s="580" t="str">
        <f>IF(G19&gt;0,(INDEX('Salary &amp; Fringe'!$B$1:$B$300,MATCH("Other 2",'Salary &amp; Fringe'!$E$1:$E$300,FALSE),1)),"")</f>
        <v/>
      </c>
      <c r="C19" s="580"/>
      <c r="D19" s="251">
        <f>SUMIFS('Salary &amp; Fringe'!$N$1:'Salary &amp; Fringe'!$N$300,'Salary &amp; Fringe'!$E$1:'Salary &amp; Fringe'!$E$300,"Other 2",'Salary &amp; Fringe'!$F$1:'Salary &amp; Fringe'!$F$300,"Calendar*")+SUMIFS('Salary &amp; Fringe'!$N$1:'Salary &amp; Fringe'!$N$300,'Salary &amp; Fringe'!$E$1:'Salary &amp; Fringe'!$E$300,"Other 2",'Salary &amp; Fringe'!$F$1:'Salary &amp; Fringe'!$F$300,"Hourly")</f>
        <v>0</v>
      </c>
      <c r="E19" s="251">
        <f>SUMIFS('Salary &amp; Fringe'!$N$1:'Salary &amp; Fringe'!$N$300,'Salary &amp; Fringe'!$E$1:'Salary &amp; Fringe'!$E$300,"Other 2",'Salary &amp; Fringe'!$F$1:'Salary &amp; Fringe'!$F$300,"Academic")</f>
        <v>0</v>
      </c>
      <c r="F19" s="251">
        <f>SUMIFS('Salary &amp; Fringe'!$N$1:'Salary &amp; Fringe'!$N$300,'Salary &amp; Fringe'!$E$1:'Salary &amp; Fringe'!$E$300,"Other 2",'Salary &amp; Fringe'!$F$1:'Salary &amp; Fringe'!$F$300,"Summer")</f>
        <v>0</v>
      </c>
      <c r="G19" s="588">
        <f>SUMIF('Salary &amp; Fringe'!$E$1:$E$300,"Other 2",'Salary &amp; Fringe'!$X$1:$X$300)</f>
        <v>0</v>
      </c>
      <c r="H19" s="588"/>
      <c r="I19" s="588">
        <f>SUMIF('Salary &amp; Fringe'!$E$1:$E$300,"Other 2",'Salary &amp; Fringe'!$AH$1:$AH$300)</f>
        <v>0</v>
      </c>
      <c r="J19" s="588"/>
      <c r="K19" s="247">
        <f t="shared" si="5"/>
        <v>0</v>
      </c>
    </row>
    <row r="20" spans="1:11" s="217" customFormat="1" ht="15" x14ac:dyDescent="0.25">
      <c r="A20" s="251">
        <f>SUMIFS('Salary &amp; Fringe'!$I$1:$I$300,'Salary &amp; Fringe'!$E$1:$E$300,"Other 3", 'Salary &amp; Fringe'!$N$1:'Salary &amp; Fringe'!$N$300, "&gt;0")</f>
        <v>0</v>
      </c>
      <c r="B20" s="580" t="str">
        <f>IF(G20&gt;0,(INDEX('Salary &amp; Fringe'!$B$1:$B$300,MATCH("Other 3",'Salary &amp; Fringe'!$E$1:$E$300,FALSE),1)),"")</f>
        <v/>
      </c>
      <c r="C20" s="580"/>
      <c r="D20" s="251">
        <f>SUMIFS('Salary &amp; Fringe'!$N$1:'Salary &amp; Fringe'!$N$300,'Salary &amp; Fringe'!$E$1:'Salary &amp; Fringe'!$E$300,"Other 3",'Salary &amp; Fringe'!$F$1:'Salary &amp; Fringe'!$F$300,"Calendar*")+SUMIFS('Salary &amp; Fringe'!$N$1:'Salary &amp; Fringe'!$N$300,'Salary &amp; Fringe'!$E$1:'Salary &amp; Fringe'!$E$300,"Other 3",'Salary &amp; Fringe'!$F$1:'Salary &amp; Fringe'!$F$300,"Hourly")</f>
        <v>0</v>
      </c>
      <c r="E20" s="251">
        <f>SUMIFS('Salary &amp; Fringe'!$N$1:'Salary &amp; Fringe'!$N$300,'Salary &amp; Fringe'!$E$1:'Salary &amp; Fringe'!$E$300,"Other 3",'Salary &amp; Fringe'!$F$1:'Salary &amp; Fringe'!$F$300,"Academic")</f>
        <v>0</v>
      </c>
      <c r="F20" s="251">
        <f>SUMIFS('Salary &amp; Fringe'!$N$1:'Salary &amp; Fringe'!$N$300,'Salary &amp; Fringe'!$E$1:'Salary &amp; Fringe'!$E$300,"Other 3",'Salary &amp; Fringe'!$F$1:'Salary &amp; Fringe'!$F$300,"Summer")</f>
        <v>0</v>
      </c>
      <c r="G20" s="588">
        <f>SUMIF('Salary &amp; Fringe'!$E$1:$E$300,"Other 3",'Salary &amp; Fringe'!$X$1:$X$300)</f>
        <v>0</v>
      </c>
      <c r="H20" s="588"/>
      <c r="I20" s="588">
        <f>SUMIF('Salary &amp; Fringe'!$E$1:$E$300,"Other 3",'Salary &amp; Fringe'!$AH$1:$AH$300)</f>
        <v>0</v>
      </c>
      <c r="J20" s="588"/>
      <c r="K20" s="247">
        <f t="shared" si="5"/>
        <v>0</v>
      </c>
    </row>
    <row r="21" spans="1:11" s="217" customFormat="1" ht="15" x14ac:dyDescent="0.25">
      <c r="A21" s="251">
        <f>SUMIFS('Salary &amp; Fringe'!$I$1:$I$300,'Salary &amp; Fringe'!$E$1:$E$300,"Other 4", 'Salary &amp; Fringe'!$N$1:'Salary &amp; Fringe'!$N$300, "&gt;0")</f>
        <v>0</v>
      </c>
      <c r="B21" s="580" t="str">
        <f>IF(G21&gt;0,(INDEX('Salary &amp; Fringe'!$B$1:$B$300,MATCH("Other 4",'Salary &amp; Fringe'!$E$1:$E$300,FALSE),1)),"")</f>
        <v/>
      </c>
      <c r="C21" s="580"/>
      <c r="D21" s="251">
        <f>SUMIFS('Salary &amp; Fringe'!$N$1:'Salary &amp; Fringe'!$N$300,'Salary &amp; Fringe'!$E$1:'Salary &amp; Fringe'!$E$300,"Other 4",'Salary &amp; Fringe'!$F$1:'Salary &amp; Fringe'!$F$300,"Calendar*")+SUMIFS('Salary &amp; Fringe'!$N$1:'Salary &amp; Fringe'!$N$300,'Salary &amp; Fringe'!$E$1:'Salary &amp; Fringe'!$E$300,"Other 4",'Salary &amp; Fringe'!$F$1:'Salary &amp; Fringe'!$F$300,"Hourly")</f>
        <v>0</v>
      </c>
      <c r="E21" s="251">
        <f>SUMIFS('Salary &amp; Fringe'!$N$1:'Salary &amp; Fringe'!$N$300,'Salary &amp; Fringe'!$E$1:'Salary &amp; Fringe'!$E$300,"Other 4",'Salary &amp; Fringe'!$F$1:'Salary &amp; Fringe'!$F$300,"Academic")</f>
        <v>0</v>
      </c>
      <c r="F21" s="251">
        <f>SUMIFS('Salary &amp; Fringe'!$N$1:'Salary &amp; Fringe'!$N$300,'Salary &amp; Fringe'!$E$1:'Salary &amp; Fringe'!$E$300,"Other 4",'Salary &amp; Fringe'!$F$1:'Salary &amp; Fringe'!$F$300,"Summer")</f>
        <v>0</v>
      </c>
      <c r="G21" s="588">
        <f>SUMIF('Salary &amp; Fringe'!$E$1:$E$300,"Other 4",'Salary &amp; Fringe'!$X$1:$X$300)</f>
        <v>0</v>
      </c>
      <c r="H21" s="588"/>
      <c r="I21" s="588">
        <f>SUMIF('Salary &amp; Fringe'!$E$1:$E$300,"Other 4",'Salary &amp; Fringe'!$AH$1:$AH$300)</f>
        <v>0</v>
      </c>
      <c r="J21" s="588"/>
      <c r="K21" s="247">
        <f t="shared" si="5"/>
        <v>0</v>
      </c>
    </row>
    <row r="22" spans="1:11" s="217" customFormat="1" ht="15" x14ac:dyDescent="0.25">
      <c r="A22" s="251">
        <f>SUMIFS('Salary &amp; Fringe'!$I$1:$I$300,'Salary &amp; Fringe'!$E$1:$E$300,"Other 5", 'Salary &amp; Fringe'!$N$1:'Salary &amp; Fringe'!$N$300, "&gt;0")</f>
        <v>0</v>
      </c>
      <c r="B22" s="580" t="str">
        <f>IF(G22&gt;0,(INDEX('Salary &amp; Fringe'!$B$1:$B$300,MATCH("Other 5",'Salary &amp; Fringe'!$E$1:$E$300,FALSE),1)),"")</f>
        <v/>
      </c>
      <c r="C22" s="580"/>
      <c r="D22" s="251">
        <f>SUMIFS('Salary &amp; Fringe'!$N$1:'Salary &amp; Fringe'!$N$300,'Salary &amp; Fringe'!$E$1:'Salary &amp; Fringe'!$E$300,"Other 5",'Salary &amp; Fringe'!$F$1:'Salary &amp; Fringe'!$F$300,"Calendar*")+SUMIFS('Salary &amp; Fringe'!$N$1:'Salary &amp; Fringe'!$N$300,'Salary &amp; Fringe'!$E$1:'Salary &amp; Fringe'!$E$300,"Other 5",'Salary &amp; Fringe'!$F$1:'Salary &amp; Fringe'!$F$300,"Hourly")</f>
        <v>0</v>
      </c>
      <c r="E22" s="251">
        <f>SUMIFS('Salary &amp; Fringe'!$N$1:'Salary &amp; Fringe'!$N$300,'Salary &amp; Fringe'!$E$1:'Salary &amp; Fringe'!$E$300,"Other 5",'Salary &amp; Fringe'!$F$1:'Salary &amp; Fringe'!$F$300,"Academic")</f>
        <v>0</v>
      </c>
      <c r="F22" s="251">
        <f>SUMIFS('Salary &amp; Fringe'!$N$1:'Salary &amp; Fringe'!$N$300,'Salary &amp; Fringe'!$E$1:'Salary &amp; Fringe'!$E$300,"Other 5",'Salary &amp; Fringe'!$F$1:'Salary &amp; Fringe'!$F$300,"Summer")</f>
        <v>0</v>
      </c>
      <c r="G22" s="588">
        <f>SUMIF('Salary &amp; Fringe'!$E$1:$E$300,"Other 5",'Salary &amp; Fringe'!$X$1:$X$300)</f>
        <v>0</v>
      </c>
      <c r="H22" s="588"/>
      <c r="I22" s="588">
        <f>SUMIF('Salary &amp; Fringe'!$E$1:$E$300,"Other 5",'Salary &amp; Fringe'!$AH$1:$AH$300)</f>
        <v>0</v>
      </c>
      <c r="J22" s="588"/>
      <c r="K22" s="247">
        <f t="shared" si="5"/>
        <v>0</v>
      </c>
    </row>
    <row r="23" spans="1:11" s="217" customFormat="1" thickBot="1" x14ac:dyDescent="0.3">
      <c r="A23" s="234">
        <f>SUMIFS('Salary &amp; Fringe'!$I$1:$I$300,'Salary &amp; Fringe'!$E$1:$E$300,"Other 6", 'Salary &amp; Fringe'!$N$1:'Salary &amp; Fringe'!$N$300, "&gt;0")</f>
        <v>0</v>
      </c>
      <c r="B23" s="580" t="str">
        <f>IF(G23&gt;0,(INDEX('Salary &amp; Fringe'!$B$1:$B$300,MATCH("Other 6",'Salary &amp; Fringe'!$E$1:$E$300,FALSE),1)),"")</f>
        <v/>
      </c>
      <c r="C23" s="580"/>
      <c r="D23" s="251">
        <f>SUMIFS('Salary &amp; Fringe'!$N$1:'Salary &amp; Fringe'!$N$300,'Salary &amp; Fringe'!$E$1:'Salary &amp; Fringe'!$E$300,"Other 6",'Salary &amp; Fringe'!$F$1:'Salary &amp; Fringe'!$F$300,"Calendar*")+SUMIFS('Salary &amp; Fringe'!$N$1:'Salary &amp; Fringe'!$N$300,'Salary &amp; Fringe'!$E$1:'Salary &amp; Fringe'!$E$300,"Other 6",'Salary &amp; Fringe'!$F$1:'Salary &amp; Fringe'!$F$300,"Hourly")</f>
        <v>0</v>
      </c>
      <c r="E23" s="251">
        <f>SUMIFS('Salary &amp; Fringe'!$N$1:'Salary &amp; Fringe'!$N$300,'Salary &amp; Fringe'!$E$1:'Salary &amp; Fringe'!$E$300,"Other 6",'Salary &amp; Fringe'!$F$1:'Salary &amp; Fringe'!$F$300,"Academic")</f>
        <v>0</v>
      </c>
      <c r="F23" s="251">
        <f>SUMIFS('Salary &amp; Fringe'!$N$1:'Salary &amp; Fringe'!$N$300,'Salary &amp; Fringe'!$E$1:'Salary &amp; Fringe'!$E$300,"Other 6",'Salary &amp; Fringe'!$F$1:'Salary &amp; Fringe'!$F$300,"Summer")</f>
        <v>0</v>
      </c>
      <c r="G23" s="588">
        <f>SUMIF('Salary &amp; Fringe'!$E$1:$E$300,"Other 6",'Salary &amp; Fringe'!$X$1:$X$300)</f>
        <v>0</v>
      </c>
      <c r="H23" s="588"/>
      <c r="I23" s="588">
        <f>SUMIF('Salary &amp; Fringe'!$E$1:$E$300,"Other 6",'Salary &amp; Fringe'!$AH$1:$AH$300)</f>
        <v>0</v>
      </c>
      <c r="J23" s="588"/>
      <c r="K23" s="247">
        <f t="shared" si="5"/>
        <v>0</v>
      </c>
    </row>
    <row r="24" spans="1:11" s="218" customFormat="1" thickBot="1" x14ac:dyDescent="0.3">
      <c r="A24" s="237">
        <f>SUM(A14:A23)</f>
        <v>0</v>
      </c>
      <c r="B24" s="589" t="s">
        <v>376</v>
      </c>
      <c r="C24" s="590"/>
      <c r="D24" s="591"/>
      <c r="H24" s="583" t="s">
        <v>349</v>
      </c>
      <c r="I24" s="584"/>
      <c r="J24" s="585"/>
      <c r="K24" s="240">
        <f>SUM(K14:K23)</f>
        <v>0</v>
      </c>
    </row>
    <row r="25" spans="1:11" s="217" customFormat="1" thickBot="1" x14ac:dyDescent="0.3">
      <c r="A25" s="224"/>
      <c r="H25" s="583" t="s">
        <v>310</v>
      </c>
      <c r="I25" s="584"/>
      <c r="J25" s="585"/>
      <c r="K25" s="235">
        <f>K11+K24</f>
        <v>0</v>
      </c>
    </row>
    <row r="26" spans="1:11" x14ac:dyDescent="0.25">
      <c r="A26" s="126" t="s">
        <v>298</v>
      </c>
    </row>
    <row r="27" spans="1:11" x14ac:dyDescent="0.25">
      <c r="A27" s="593" t="s">
        <v>350</v>
      </c>
      <c r="B27" s="593"/>
      <c r="C27" s="593"/>
      <c r="D27" s="593"/>
      <c r="E27" s="593"/>
      <c r="F27" s="593"/>
      <c r="G27" s="593"/>
      <c r="H27" s="593"/>
      <c r="I27" s="593"/>
      <c r="J27" s="593"/>
      <c r="K27" s="249" t="s">
        <v>346</v>
      </c>
    </row>
    <row r="28" spans="1:11" s="217" customFormat="1" ht="15" x14ac:dyDescent="0.25">
      <c r="A28" s="592" t="str">
        <f>IF(ISBLANK(Budget!H47),"",Budget!A47)</f>
        <v/>
      </c>
      <c r="B28" s="592"/>
      <c r="C28" s="592"/>
      <c r="D28" s="592"/>
      <c r="E28" s="592"/>
      <c r="F28" s="592"/>
      <c r="G28" s="592"/>
      <c r="H28" s="592"/>
      <c r="I28" s="592"/>
      <c r="J28" s="592"/>
      <c r="K28" s="247">
        <f>IF(Budget!H47&gt;0,Budget!H47,0)</f>
        <v>0</v>
      </c>
    </row>
    <row r="29" spans="1:11" s="217" customFormat="1" ht="15" x14ac:dyDescent="0.25">
      <c r="A29" s="592" t="str">
        <f>IF(ISBLANK(Budget!H48),"",Budget!A48)</f>
        <v/>
      </c>
      <c r="B29" s="592"/>
      <c r="C29" s="592"/>
      <c r="D29" s="592"/>
      <c r="E29" s="592"/>
      <c r="F29" s="592"/>
      <c r="G29" s="592"/>
      <c r="H29" s="592"/>
      <c r="I29" s="592"/>
      <c r="J29" s="592"/>
      <c r="K29" s="247">
        <f>IF(Budget!H48&gt;0,Budget!H48,0)</f>
        <v>0</v>
      </c>
    </row>
    <row r="30" spans="1:11" s="217" customFormat="1" ht="15" x14ac:dyDescent="0.25">
      <c r="A30" s="592" t="str">
        <f>IF(ISBLANK(Budget!H49),"",Budget!A49)</f>
        <v/>
      </c>
      <c r="B30" s="592"/>
      <c r="C30" s="592"/>
      <c r="D30" s="592"/>
      <c r="E30" s="592"/>
      <c r="F30" s="592"/>
      <c r="G30" s="592"/>
      <c r="H30" s="592"/>
      <c r="I30" s="592"/>
      <c r="J30" s="592"/>
      <c r="K30" s="247">
        <f>IF(Budget!H49&gt;0,Budget!H49,0)</f>
        <v>0</v>
      </c>
    </row>
    <row r="31" spans="1:11" s="217" customFormat="1" ht="15" x14ac:dyDescent="0.25">
      <c r="A31" s="592" t="str">
        <f>IF(ISBLANK(Budget!H50),"",Budget!A50)</f>
        <v/>
      </c>
      <c r="B31" s="592"/>
      <c r="C31" s="592"/>
      <c r="D31" s="592"/>
      <c r="E31" s="592"/>
      <c r="F31" s="592"/>
      <c r="G31" s="592"/>
      <c r="H31" s="592"/>
      <c r="I31" s="592"/>
      <c r="J31" s="592"/>
      <c r="K31" s="247">
        <f>IF(Budget!H50&gt;0,Budget!H50,0)</f>
        <v>0</v>
      </c>
    </row>
    <row r="32" spans="1:11" s="217" customFormat="1" thickBot="1" x14ac:dyDescent="0.3">
      <c r="A32" s="592" t="str">
        <f>IF(ISBLANK(Budget!H51),"",Budget!A51)</f>
        <v/>
      </c>
      <c r="B32" s="592"/>
      <c r="C32" s="592"/>
      <c r="D32" s="592"/>
      <c r="E32" s="592"/>
      <c r="F32" s="592"/>
      <c r="G32" s="592"/>
      <c r="H32" s="592"/>
      <c r="I32" s="592"/>
      <c r="J32" s="592"/>
      <c r="K32" s="247">
        <f>IF(Budget!H51&gt;0,Budget!H51,0)</f>
        <v>0</v>
      </c>
    </row>
    <row r="33" spans="1:12" s="217" customFormat="1" thickBot="1" x14ac:dyDescent="0.3">
      <c r="J33" s="225" t="s">
        <v>58</v>
      </c>
      <c r="K33" s="235">
        <f>TotalEquipment2</f>
        <v>0</v>
      </c>
    </row>
    <row r="34" spans="1:12" s="217" customFormat="1" ht="15" x14ac:dyDescent="0.25">
      <c r="J34" s="226"/>
      <c r="K34" s="227"/>
    </row>
    <row r="35" spans="1:12" x14ac:dyDescent="0.25">
      <c r="A35" s="228" t="s">
        <v>299</v>
      </c>
      <c r="B35" s="228"/>
      <c r="C35" s="228"/>
      <c r="D35" s="228"/>
      <c r="E35" s="228"/>
      <c r="F35" s="228"/>
      <c r="G35" s="228"/>
      <c r="H35" s="228"/>
      <c r="I35" s="228"/>
      <c r="J35" s="229"/>
      <c r="K35" s="249" t="s">
        <v>346</v>
      </c>
      <c r="L35" s="221"/>
    </row>
    <row r="36" spans="1:12" s="217" customFormat="1" ht="15" x14ac:dyDescent="0.25">
      <c r="A36" s="594" t="s">
        <v>351</v>
      </c>
      <c r="B36" s="595"/>
      <c r="C36" s="595"/>
      <c r="D36" s="595"/>
      <c r="E36" s="595"/>
      <c r="F36" s="595"/>
      <c r="G36" s="595"/>
      <c r="H36" s="595"/>
      <c r="I36" s="595"/>
      <c r="J36" s="596"/>
      <c r="K36" s="238">
        <f>Budget!H39</f>
        <v>0</v>
      </c>
    </row>
    <row r="37" spans="1:12" s="217" customFormat="1" thickBot="1" x14ac:dyDescent="0.3">
      <c r="A37" s="594" t="s">
        <v>352</v>
      </c>
      <c r="B37" s="595"/>
      <c r="C37" s="595"/>
      <c r="D37" s="595"/>
      <c r="E37" s="595"/>
      <c r="F37" s="595"/>
      <c r="G37" s="595"/>
      <c r="H37" s="595"/>
      <c r="I37" s="595"/>
      <c r="J37" s="596"/>
      <c r="K37" s="238">
        <f>Budget!H44</f>
        <v>0</v>
      </c>
    </row>
    <row r="38" spans="1:12" s="217" customFormat="1" thickBot="1" x14ac:dyDescent="0.3">
      <c r="C38" s="597"/>
      <c r="D38" s="597"/>
      <c r="J38" s="248" t="s">
        <v>353</v>
      </c>
      <c r="K38" s="235">
        <f>SUM(K36:K37)</f>
        <v>0</v>
      </c>
    </row>
    <row r="39" spans="1:12" s="217" customFormat="1" ht="15" x14ac:dyDescent="0.25">
      <c r="K39" s="252"/>
    </row>
    <row r="40" spans="1:12" x14ac:dyDescent="0.25">
      <c r="A40" s="228" t="s">
        <v>300</v>
      </c>
      <c r="B40" s="228"/>
      <c r="C40" s="228"/>
      <c r="D40" s="228"/>
      <c r="E40" s="228"/>
      <c r="F40" s="228"/>
      <c r="G40" s="228"/>
      <c r="H40" s="228"/>
      <c r="I40" s="228"/>
      <c r="J40" s="229"/>
      <c r="K40" s="249" t="s">
        <v>346</v>
      </c>
      <c r="L40" s="221"/>
    </row>
    <row r="41" spans="1:12" s="217" customFormat="1" ht="15" x14ac:dyDescent="0.25">
      <c r="A41" s="592" t="s">
        <v>315</v>
      </c>
      <c r="B41" s="592"/>
      <c r="C41" s="592"/>
      <c r="D41" s="592"/>
      <c r="E41" s="592"/>
      <c r="F41" s="592"/>
      <c r="G41" s="592"/>
      <c r="H41" s="592"/>
      <c r="I41" s="592"/>
      <c r="J41" s="592"/>
      <c r="K41" s="247">
        <f>SUMIF(Budget!$A$2:$A$504,"PS Tuition/Fees/Health Insurance",Budget!$H$2:$H$504)</f>
        <v>0</v>
      </c>
    </row>
    <row r="42" spans="1:12" s="217" customFormat="1" ht="15" x14ac:dyDescent="0.25">
      <c r="A42" s="592" t="s">
        <v>316</v>
      </c>
      <c r="B42" s="592"/>
      <c r="C42" s="592"/>
      <c r="D42" s="592"/>
      <c r="E42" s="592"/>
      <c r="F42" s="592"/>
      <c r="G42" s="592"/>
      <c r="H42" s="592"/>
      <c r="I42" s="592"/>
      <c r="J42" s="592"/>
      <c r="K42" s="247">
        <f>SUMIF(Budget!$A$2:$A$504,"PS Stipends",Budget!$H$2:$H$504)</f>
        <v>0</v>
      </c>
    </row>
    <row r="43" spans="1:12" s="217" customFormat="1" ht="15" x14ac:dyDescent="0.25">
      <c r="A43" s="592" t="s">
        <v>317</v>
      </c>
      <c r="B43" s="592"/>
      <c r="C43" s="592"/>
      <c r="D43" s="592"/>
      <c r="E43" s="592"/>
      <c r="F43" s="592"/>
      <c r="G43" s="592"/>
      <c r="H43" s="592"/>
      <c r="I43" s="592"/>
      <c r="J43" s="592"/>
      <c r="K43" s="247">
        <f>SUMIF(Budget!$A$2:$A$504,"PS Travel",Budget!$H$2:$H$504)</f>
        <v>0</v>
      </c>
    </row>
    <row r="44" spans="1:12" s="217" customFormat="1" ht="15" x14ac:dyDescent="0.25">
      <c r="A44" s="592" t="s">
        <v>318</v>
      </c>
      <c r="B44" s="592"/>
      <c r="C44" s="592"/>
      <c r="D44" s="592"/>
      <c r="E44" s="592"/>
      <c r="F44" s="592"/>
      <c r="G44" s="592"/>
      <c r="H44" s="592"/>
      <c r="I44" s="592"/>
      <c r="J44" s="592"/>
      <c r="K44" s="247">
        <f>SUMIF(Budget!$A$2:$A$504,"PS Subsistence",Budget!$H$2:$H$504)</f>
        <v>0</v>
      </c>
    </row>
    <row r="45" spans="1:12" s="217" customFormat="1" thickBot="1" x14ac:dyDescent="0.3">
      <c r="A45" s="592" t="s">
        <v>319</v>
      </c>
      <c r="B45" s="599"/>
      <c r="C45" s="592"/>
      <c r="D45" s="592"/>
      <c r="E45" s="592"/>
      <c r="F45" s="592"/>
      <c r="G45" s="592"/>
      <c r="H45" s="592"/>
      <c r="I45" s="592"/>
      <c r="J45" s="592"/>
      <c r="K45" s="236">
        <f>SUMIF(Budget!$A$2:$A$504,"PS Other",Budget!$H$2:$H$504)</f>
        <v>0</v>
      </c>
    </row>
    <row r="46" spans="1:12" s="217" customFormat="1" thickBot="1" x14ac:dyDescent="0.3">
      <c r="A46" s="231" t="s">
        <v>354</v>
      </c>
      <c r="B46" s="244"/>
      <c r="C46" s="220"/>
      <c r="D46" s="220"/>
      <c r="H46" s="600" t="s">
        <v>355</v>
      </c>
      <c r="I46" s="600"/>
      <c r="J46" s="583"/>
      <c r="K46" s="235">
        <f>SUM(K41:K45)</f>
        <v>0</v>
      </c>
    </row>
    <row r="47" spans="1:12" s="217" customFormat="1" ht="15" customHeight="1" x14ac:dyDescent="0.25">
      <c r="C47" s="597"/>
      <c r="D47" s="597"/>
      <c r="K47" s="221"/>
    </row>
    <row r="48" spans="1:12" x14ac:dyDescent="0.25">
      <c r="A48" s="126" t="s">
        <v>301</v>
      </c>
      <c r="K48" s="230" t="s">
        <v>346</v>
      </c>
    </row>
    <row r="49" spans="1:12" s="217" customFormat="1" ht="15" x14ac:dyDescent="0.25">
      <c r="A49" s="601" t="s">
        <v>120</v>
      </c>
      <c r="B49" s="601"/>
      <c r="C49" s="601"/>
      <c r="D49" s="601"/>
      <c r="E49" s="601"/>
      <c r="F49" s="601"/>
      <c r="G49" s="601"/>
      <c r="H49" s="601"/>
      <c r="I49" s="601"/>
      <c r="J49" s="601"/>
      <c r="K49" s="247">
        <f>SUMIF(Budget!$A$2:$A$504,"Materials &amp; Supplies",Budget!$H$2:$H$504)</f>
        <v>0</v>
      </c>
    </row>
    <row r="50" spans="1:12" s="217" customFormat="1" ht="15" x14ac:dyDescent="0.25">
      <c r="A50" s="601" t="s">
        <v>322</v>
      </c>
      <c r="B50" s="601"/>
      <c r="C50" s="601"/>
      <c r="D50" s="601"/>
      <c r="E50" s="601"/>
      <c r="F50" s="601"/>
      <c r="G50" s="601"/>
      <c r="H50" s="601"/>
      <c r="I50" s="601"/>
      <c r="J50" s="601"/>
      <c r="K50" s="247">
        <f>SUMIF(Budget!$A$2:$A$504,"Publication Costs/Page Charges",Budget!$H$2:$H$504)</f>
        <v>0</v>
      </c>
    </row>
    <row r="51" spans="1:12" s="217" customFormat="1" ht="15" x14ac:dyDescent="0.25">
      <c r="A51" s="601" t="s">
        <v>122</v>
      </c>
      <c r="B51" s="601"/>
      <c r="C51" s="601"/>
      <c r="D51" s="601"/>
      <c r="E51" s="601"/>
      <c r="F51" s="601"/>
      <c r="G51" s="601"/>
      <c r="H51" s="601"/>
      <c r="I51" s="601"/>
      <c r="J51" s="601"/>
      <c r="K51" s="247">
        <f>SUMIF(Budget!$A$2:$A$504,"Consultant Services",Budget!$H$2:$H$504)</f>
        <v>0</v>
      </c>
    </row>
    <row r="52" spans="1:12" s="217" customFormat="1" ht="15" x14ac:dyDescent="0.25">
      <c r="A52" s="601" t="s">
        <v>323</v>
      </c>
      <c r="B52" s="601"/>
      <c r="C52" s="601"/>
      <c r="D52" s="601"/>
      <c r="E52" s="601"/>
      <c r="F52" s="601"/>
      <c r="G52" s="601"/>
      <c r="H52" s="601"/>
      <c r="I52" s="601"/>
      <c r="J52" s="601"/>
      <c r="K52" s="247">
        <f>SUMIF(Budget!$A$2:$A$504,"Computer (ADPE) Services",Budget!$H$2:$H$504)</f>
        <v>0</v>
      </c>
    </row>
    <row r="53" spans="1:12" s="217" customFormat="1" ht="15" x14ac:dyDescent="0.25">
      <c r="A53" s="601" t="s">
        <v>360</v>
      </c>
      <c r="B53" s="601"/>
      <c r="C53" s="601"/>
      <c r="D53" s="601"/>
      <c r="E53" s="601"/>
      <c r="F53" s="601"/>
      <c r="G53" s="601"/>
      <c r="H53" s="601"/>
      <c r="I53" s="601"/>
      <c r="J53" s="601"/>
      <c r="K53" s="247">
        <f ca="1">TotalSubs2+TotalMulti2+SUMIF(Budget!$A$2:$A$504,"Vendor Contract",Budget!$H$2:$H$504)+SUMIF(Budget!$A$2:$A$504,"Service Agreement",Budget!$H$2:$H$504)</f>
        <v>0</v>
      </c>
    </row>
    <row r="54" spans="1:12" s="217" customFormat="1" x14ac:dyDescent="0.25">
      <c r="A54" s="601" t="s">
        <v>325</v>
      </c>
      <c r="B54" s="601"/>
      <c r="C54" s="601"/>
      <c r="D54" s="601"/>
      <c r="E54" s="601"/>
      <c r="F54" s="601"/>
      <c r="G54" s="601"/>
      <c r="H54" s="601"/>
      <c r="I54" s="601"/>
      <c r="J54" s="601"/>
      <c r="K54" s="242">
        <f>SUMIF(Budget!$A$2:$A$504,"Other Rentals",Budget!$H$2:$H$504)+SUMIF(Budget!$A$2:$A$504,"Space Rentals",Budget!$H$2:$H$504)+SUMIF(Budget!$A$2:$A$504,"Equipment or Facility Rental/User Fees",Budget!$H$2:$H$504)</f>
        <v>0</v>
      </c>
    </row>
    <row r="55" spans="1:12" s="217" customFormat="1" ht="15" x14ac:dyDescent="0.25">
      <c r="A55" s="601" t="s">
        <v>326</v>
      </c>
      <c r="B55" s="601"/>
      <c r="C55" s="601"/>
      <c r="D55" s="601"/>
      <c r="E55" s="601"/>
      <c r="F55" s="601"/>
      <c r="G55" s="601"/>
      <c r="H55" s="601"/>
      <c r="I55" s="601"/>
      <c r="J55" s="601"/>
      <c r="K55" s="247">
        <f>SUMIF(Budget!$A$2:$A$504,"Alterations and Renovations",Budget!$H$2:$H$504)</f>
        <v>0</v>
      </c>
    </row>
    <row r="56" spans="1:12" s="217" customFormat="1" ht="15" x14ac:dyDescent="0.25">
      <c r="A56" s="598" t="s">
        <v>379</v>
      </c>
      <c r="B56" s="598"/>
      <c r="C56" s="598"/>
      <c r="D56" s="598"/>
      <c r="E56" s="598"/>
      <c r="F56" s="598"/>
      <c r="G56" s="598"/>
      <c r="H56" s="598"/>
      <c r="I56" s="598"/>
      <c r="J56" s="598"/>
      <c r="K56" s="247">
        <f>TotalGSR2</f>
        <v>0</v>
      </c>
    </row>
    <row r="57" spans="1:12" s="217" customFormat="1" ht="15" x14ac:dyDescent="0.25">
      <c r="A57" s="598" t="s">
        <v>380</v>
      </c>
      <c r="B57" s="598"/>
      <c r="C57" s="598"/>
      <c r="D57" s="598"/>
      <c r="E57" s="598"/>
      <c r="F57" s="598"/>
      <c r="G57" s="598"/>
      <c r="H57" s="598"/>
      <c r="I57" s="598"/>
      <c r="J57" s="598"/>
      <c r="K57" s="247">
        <f>SUMIF(Budget!$A$2:$A$504,"Other",Budget!$H$2:$H$504)+SUMIF(Budget!$A$2:$A$504,"Other Maintenance Fees",Budget!$H$2:$H$504)</f>
        <v>0</v>
      </c>
    </row>
    <row r="58" spans="1:12" s="217" customFormat="1" thickBot="1" x14ac:dyDescent="0.3">
      <c r="A58" s="602" t="s">
        <v>383</v>
      </c>
      <c r="B58" s="602"/>
      <c r="C58" s="602"/>
      <c r="D58" s="602"/>
      <c r="E58" s="602"/>
      <c r="F58" s="602"/>
      <c r="G58" s="602"/>
      <c r="H58" s="602"/>
      <c r="I58" s="602"/>
      <c r="J58" s="602"/>
      <c r="K58" s="236">
        <v>0</v>
      </c>
    </row>
    <row r="59" spans="1:12" s="217" customFormat="1" ht="15" customHeight="1" thickBot="1" x14ac:dyDescent="0.3">
      <c r="I59" s="600" t="s">
        <v>21</v>
      </c>
      <c r="J59" s="583"/>
      <c r="K59" s="235">
        <f ca="1">SUM(K49:K58)</f>
        <v>0</v>
      </c>
    </row>
    <row r="60" spans="1:12" s="217" customFormat="1" ht="15" x14ac:dyDescent="0.25">
      <c r="K60" s="252"/>
    </row>
    <row r="61" spans="1:12" ht="16.5" thickBot="1" x14ac:dyDescent="0.3">
      <c r="A61" s="126" t="s">
        <v>302</v>
      </c>
      <c r="K61" s="230" t="s">
        <v>346</v>
      </c>
      <c r="L61" s="221"/>
    </row>
    <row r="62" spans="1:12" s="217" customFormat="1" ht="15" customHeight="1" thickBot="1" x14ac:dyDescent="0.3">
      <c r="A62" s="583" t="s">
        <v>359</v>
      </c>
      <c r="B62" s="584"/>
      <c r="C62" s="584"/>
      <c r="D62" s="584"/>
      <c r="E62" s="584"/>
      <c r="F62" s="584"/>
      <c r="G62" s="584"/>
      <c r="H62" s="584"/>
      <c r="I62" s="584"/>
      <c r="J62" s="584"/>
      <c r="K62" s="235">
        <f ca="1">K25+K33+K38+K46+K59</f>
        <v>0</v>
      </c>
    </row>
    <row r="63" spans="1:12" s="217" customFormat="1" ht="15" x14ac:dyDescent="0.25">
      <c r="K63" s="252"/>
    </row>
    <row r="64" spans="1:12" x14ac:dyDescent="0.25">
      <c r="A64" s="126" t="s">
        <v>303</v>
      </c>
    </row>
    <row r="65" spans="1:11" s="217" customFormat="1" ht="15" x14ac:dyDescent="0.25">
      <c r="A65" s="587" t="s">
        <v>357</v>
      </c>
      <c r="B65" s="587"/>
      <c r="C65" s="587"/>
      <c r="D65" s="587"/>
      <c r="E65" s="587"/>
      <c r="F65" s="587" t="s">
        <v>358</v>
      </c>
      <c r="G65" s="587"/>
      <c r="H65" s="587"/>
      <c r="I65" s="587"/>
      <c r="J65" s="587"/>
      <c r="K65" s="249" t="s">
        <v>346</v>
      </c>
    </row>
    <row r="66" spans="1:11" s="217" customFormat="1" ht="15" x14ac:dyDescent="0.25">
      <c r="A66" s="603" t="str">
        <f>Budget!H105</f>
        <v xml:space="preserve"> </v>
      </c>
      <c r="B66" s="603"/>
      <c r="C66" s="603"/>
      <c r="D66" s="603"/>
      <c r="E66" s="603"/>
      <c r="F66" s="588">
        <f ca="1">Budget!H101</f>
        <v>0</v>
      </c>
      <c r="G66" s="588"/>
      <c r="H66" s="588"/>
      <c r="I66" s="588"/>
      <c r="J66" s="588"/>
      <c r="K66" s="247" t="e">
        <f ca="1">ROUND((A66*F66),0)</f>
        <v>#VALUE!</v>
      </c>
    </row>
    <row r="67" spans="1:11" s="217" customFormat="1" ht="15" x14ac:dyDescent="0.25">
      <c r="A67" s="577"/>
      <c r="B67" s="577"/>
      <c r="C67" s="577"/>
      <c r="D67" s="577"/>
      <c r="E67" s="577"/>
      <c r="F67" s="578"/>
      <c r="G67" s="578"/>
      <c r="H67" s="578"/>
      <c r="I67" s="578"/>
      <c r="J67" s="578"/>
      <c r="K67" s="253">
        <f t="shared" ref="K67:K69" si="6">ROUND((A67*F67),0)</f>
        <v>0</v>
      </c>
    </row>
    <row r="68" spans="1:11" s="217" customFormat="1" ht="15" x14ac:dyDescent="0.25">
      <c r="A68" s="577"/>
      <c r="B68" s="577"/>
      <c r="C68" s="577"/>
      <c r="D68" s="577"/>
      <c r="E68" s="577"/>
      <c r="F68" s="578"/>
      <c r="G68" s="578"/>
      <c r="H68" s="578"/>
      <c r="I68" s="578"/>
      <c r="J68" s="578"/>
      <c r="K68" s="253">
        <f t="shared" si="6"/>
        <v>0</v>
      </c>
    </row>
    <row r="69" spans="1:11" s="217" customFormat="1" thickBot="1" x14ac:dyDescent="0.3">
      <c r="A69" s="577"/>
      <c r="B69" s="577"/>
      <c r="C69" s="577"/>
      <c r="D69" s="577"/>
      <c r="E69" s="577"/>
      <c r="F69" s="578"/>
      <c r="G69" s="578"/>
      <c r="H69" s="578"/>
      <c r="I69" s="578"/>
      <c r="J69" s="578"/>
      <c r="K69" s="253">
        <f t="shared" si="6"/>
        <v>0</v>
      </c>
    </row>
    <row r="70" spans="1:11" s="217" customFormat="1" thickBot="1" x14ac:dyDescent="0.3">
      <c r="I70" s="583" t="s">
        <v>27</v>
      </c>
      <c r="J70" s="584"/>
      <c r="K70" s="235" t="e">
        <f ca="1">SUM(K66:K69)</f>
        <v>#VALUE!</v>
      </c>
    </row>
    <row r="71" spans="1:11" s="217" customFormat="1" ht="15" x14ac:dyDescent="0.25">
      <c r="K71" s="252"/>
    </row>
    <row r="72" spans="1:11" ht="16.5" thickBot="1" x14ac:dyDescent="0.3">
      <c r="A72" s="126" t="s">
        <v>304</v>
      </c>
      <c r="K72" s="232" t="s">
        <v>346</v>
      </c>
    </row>
    <row r="73" spans="1:11" s="217" customFormat="1" thickBot="1" x14ac:dyDescent="0.3">
      <c r="A73" s="583" t="s">
        <v>356</v>
      </c>
      <c r="B73" s="584"/>
      <c r="C73" s="584"/>
      <c r="D73" s="584"/>
      <c r="E73" s="584"/>
      <c r="F73" s="584"/>
      <c r="G73" s="584"/>
      <c r="H73" s="584"/>
      <c r="I73" s="584"/>
      <c r="J73" s="584"/>
      <c r="K73" s="235" t="e">
        <f ca="1">K62+K70</f>
        <v>#VALUE!</v>
      </c>
    </row>
    <row r="74" spans="1:11" s="217" customFormat="1" ht="15" x14ac:dyDescent="0.25">
      <c r="K74" s="252"/>
    </row>
    <row r="75" spans="1:11" ht="16.5" thickBot="1" x14ac:dyDescent="0.3">
      <c r="A75" s="126" t="s">
        <v>305</v>
      </c>
      <c r="K75" s="230" t="s">
        <v>346</v>
      </c>
    </row>
    <row r="76" spans="1:11" s="217" customFormat="1" thickBot="1" x14ac:dyDescent="0.3">
      <c r="A76" s="604"/>
      <c r="B76" s="605"/>
      <c r="C76" s="605"/>
      <c r="D76" s="605"/>
      <c r="E76" s="605"/>
      <c r="F76" s="605"/>
      <c r="G76" s="605"/>
      <c r="H76" s="605"/>
      <c r="I76" s="605"/>
      <c r="J76" s="605"/>
      <c r="K76" s="245"/>
    </row>
    <row r="78" spans="1:11" ht="16.5" thickBot="1" x14ac:dyDescent="0.3"/>
    <row r="79" spans="1:11" x14ac:dyDescent="0.25">
      <c r="A79" s="254" t="s">
        <v>364</v>
      </c>
      <c r="B79" s="255"/>
      <c r="C79" s="255"/>
      <c r="D79" s="255"/>
      <c r="E79" s="255"/>
      <c r="F79" s="255"/>
      <c r="G79" s="255"/>
      <c r="H79" s="255"/>
      <c r="I79" s="255"/>
      <c r="J79" s="255"/>
      <c r="K79" s="256"/>
    </row>
    <row r="80" spans="1:11" x14ac:dyDescent="0.25">
      <c r="A80" s="257" t="s">
        <v>369</v>
      </c>
      <c r="B80" s="258"/>
      <c r="C80" s="258"/>
      <c r="D80" s="258"/>
      <c r="E80" s="258"/>
      <c r="F80" s="258"/>
      <c r="G80" s="258"/>
      <c r="H80" s="258"/>
      <c r="I80" s="258"/>
      <c r="J80" s="258"/>
      <c r="K80" s="259"/>
    </row>
    <row r="81" spans="1:11" x14ac:dyDescent="0.25">
      <c r="A81" s="257" t="s">
        <v>368</v>
      </c>
      <c r="B81" s="258"/>
      <c r="C81" s="258"/>
      <c r="D81" s="258"/>
      <c r="E81" s="258"/>
      <c r="F81" s="258"/>
      <c r="G81" s="258"/>
      <c r="H81" s="258"/>
      <c r="I81" s="258"/>
      <c r="J81" s="258"/>
      <c r="K81" s="259"/>
    </row>
    <row r="82" spans="1:11" x14ac:dyDescent="0.25">
      <c r="A82" s="257" t="s">
        <v>385</v>
      </c>
      <c r="B82" s="258"/>
      <c r="C82" s="258"/>
      <c r="D82" s="258"/>
      <c r="E82" s="258"/>
      <c r="F82" s="258"/>
      <c r="G82" s="258"/>
      <c r="H82" s="258"/>
      <c r="I82" s="258"/>
      <c r="J82" s="258"/>
      <c r="K82" s="259"/>
    </row>
    <row r="83" spans="1:11" ht="16.5" thickBot="1" x14ac:dyDescent="0.3">
      <c r="A83" s="260" t="s">
        <v>378</v>
      </c>
      <c r="B83" s="261"/>
      <c r="C83" s="261"/>
      <c r="D83" s="261"/>
      <c r="E83" s="261"/>
      <c r="F83" s="261"/>
      <c r="G83" s="261"/>
      <c r="H83" s="261"/>
      <c r="I83" s="261"/>
      <c r="J83" s="261"/>
      <c r="K83" s="262"/>
    </row>
  </sheetData>
  <sheetProtection algorithmName="SHA-512" hashValue="plgPcdUER4PWWsMP8lw0YxDEXp2piNTlaRx0sSCf0dFXamPiCtx2b51nVRNBXIuqckG+f+m4PQ1O+PhtfdGlWQ==" saltValue="SIU0y8REGPQiz63xBV5a0Q==" spinCount="100000" sheet="1" objects="1" scenarios="1" selectLockedCells="1"/>
  <mergeCells count="79">
    <mergeCell ref="A69:E69"/>
    <mergeCell ref="F69:J69"/>
    <mergeCell ref="I70:J70"/>
    <mergeCell ref="A73:J73"/>
    <mergeCell ref="A76:J76"/>
    <mergeCell ref="A66:E66"/>
    <mergeCell ref="F66:J66"/>
    <mergeCell ref="A67:E67"/>
    <mergeCell ref="F67:J67"/>
    <mergeCell ref="A68:E68"/>
    <mergeCell ref="F68:J68"/>
    <mergeCell ref="A57:J57"/>
    <mergeCell ref="A58:J58"/>
    <mergeCell ref="I59:J59"/>
    <mergeCell ref="A62:J62"/>
    <mergeCell ref="A65:E65"/>
    <mergeCell ref="F65:J65"/>
    <mergeCell ref="A56:J56"/>
    <mergeCell ref="A44:J44"/>
    <mergeCell ref="A45:J45"/>
    <mergeCell ref="H46:J46"/>
    <mergeCell ref="C47:D47"/>
    <mergeCell ref="A49:J49"/>
    <mergeCell ref="A50:J50"/>
    <mergeCell ref="A51:J51"/>
    <mergeCell ref="A52:J52"/>
    <mergeCell ref="A53:J53"/>
    <mergeCell ref="A54:J54"/>
    <mergeCell ref="A55:J55"/>
    <mergeCell ref="A43:J43"/>
    <mergeCell ref="A27:J27"/>
    <mergeCell ref="A28:J28"/>
    <mergeCell ref="A29:J29"/>
    <mergeCell ref="A30:J30"/>
    <mergeCell ref="A31:J31"/>
    <mergeCell ref="A32:J32"/>
    <mergeCell ref="A36:J36"/>
    <mergeCell ref="A37:J37"/>
    <mergeCell ref="C38:D38"/>
    <mergeCell ref="A41:J41"/>
    <mergeCell ref="A42:J42"/>
    <mergeCell ref="H25:J25"/>
    <mergeCell ref="B21:C21"/>
    <mergeCell ref="G21:H21"/>
    <mergeCell ref="I21:J21"/>
    <mergeCell ref="B22:C22"/>
    <mergeCell ref="G22:H22"/>
    <mergeCell ref="I22:J22"/>
    <mergeCell ref="B23:C23"/>
    <mergeCell ref="G23:H23"/>
    <mergeCell ref="I23:J23"/>
    <mergeCell ref="B24:D24"/>
    <mergeCell ref="H24:J24"/>
    <mergeCell ref="B19:C19"/>
    <mergeCell ref="G19:H19"/>
    <mergeCell ref="I19:J19"/>
    <mergeCell ref="B20:C20"/>
    <mergeCell ref="G20:H20"/>
    <mergeCell ref="I20:J20"/>
    <mergeCell ref="B17:C17"/>
    <mergeCell ref="G17:H17"/>
    <mergeCell ref="I17:J17"/>
    <mergeCell ref="B18:C18"/>
    <mergeCell ref="G18:H18"/>
    <mergeCell ref="I18:J18"/>
    <mergeCell ref="B15:C15"/>
    <mergeCell ref="G15:H15"/>
    <mergeCell ref="I15:J15"/>
    <mergeCell ref="B16:C16"/>
    <mergeCell ref="G16:H16"/>
    <mergeCell ref="I16:J16"/>
    <mergeCell ref="B14:C14"/>
    <mergeCell ref="G14:H14"/>
    <mergeCell ref="I14:J14"/>
    <mergeCell ref="F10:H10"/>
    <mergeCell ref="I11:J11"/>
    <mergeCell ref="B13:C13"/>
    <mergeCell ref="G13:H13"/>
    <mergeCell ref="I13:J13"/>
  </mergeCells>
  <pageMargins left="0.75" right="0.75" top="1" bottom="1" header="0.5" footer="0.5"/>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L83"/>
  <sheetViews>
    <sheetView workbookViewId="0">
      <selection activeCell="A15" sqref="A15"/>
    </sheetView>
  </sheetViews>
  <sheetFormatPr defaultColWidth="11" defaultRowHeight="15.75" x14ac:dyDescent="0.25"/>
  <cols>
    <col min="1" max="1" width="30.875" customWidth="1"/>
    <col min="2" max="8" width="10.875" customWidth="1"/>
    <col min="9" max="9" width="14.875" customWidth="1"/>
    <col min="10" max="10" width="15" customWidth="1"/>
    <col min="11" max="11" width="14.875" style="246" customWidth="1"/>
  </cols>
  <sheetData>
    <row r="1" spans="1:11" x14ac:dyDescent="0.25">
      <c r="A1" s="126" t="s">
        <v>393</v>
      </c>
    </row>
    <row r="3" spans="1:11" x14ac:dyDescent="0.25">
      <c r="A3" s="126" t="s">
        <v>297</v>
      </c>
    </row>
    <row r="4" spans="1:11" s="221" customFormat="1" ht="15" x14ac:dyDescent="0.25">
      <c r="A4" s="250" t="s">
        <v>11</v>
      </c>
      <c r="B4" s="249" t="s">
        <v>363</v>
      </c>
      <c r="C4" s="249" t="s">
        <v>332</v>
      </c>
      <c r="D4" s="249" t="s">
        <v>333</v>
      </c>
      <c r="E4" s="249" t="s">
        <v>334</v>
      </c>
      <c r="F4" s="249" t="s">
        <v>335</v>
      </c>
      <c r="G4" s="249" t="s">
        <v>336</v>
      </c>
      <c r="H4" s="249" t="s">
        <v>337</v>
      </c>
      <c r="I4" s="249" t="s">
        <v>338</v>
      </c>
      <c r="J4" s="249" t="s">
        <v>339</v>
      </c>
      <c r="K4" s="249" t="s">
        <v>340</v>
      </c>
    </row>
    <row r="5" spans="1:11" s="217" customFormat="1" ht="15" x14ac:dyDescent="0.25">
      <c r="A5" s="222" t="str">
        <f>IF(B5&gt;0,(INDEX('Salary &amp; Fringe'!$A$1:$A$300,MATCH("Senior Person 1",'Salary &amp; Fringe'!$E$1:$E$300,FALSE),1)),"")</f>
        <v/>
      </c>
      <c r="B5" s="247">
        <f>IFERROR(IF(F5&gt;0, C5, D5+E5),0)</f>
        <v>0</v>
      </c>
      <c r="C5" s="247">
        <f>IFERROR(IF(F5&gt;0, (I5/SUM(F5:H5)*12),0),0)</f>
        <v>0</v>
      </c>
      <c r="D5" s="247">
        <f>IFERROR(IF($C5=0, (I5/SUM(F5:H5)*9),0),0)</f>
        <v>0</v>
      </c>
      <c r="E5" s="247">
        <f>IFERROR(IF($C5=0, (I5/SUM(F5:H5)*3),0),0)</f>
        <v>0</v>
      </c>
      <c r="F5" s="251">
        <f>SUMIFS('Salary &amp; Fringe'!$O$1:'Salary &amp; Fringe'!$O$300,'Salary &amp; Fringe'!$E$1:'Salary &amp; Fringe'!$E$300,"Senior Person 1",'Salary &amp; Fringe'!$F$1:'Salary &amp; Fringe'!$F$300,"Calendar*")</f>
        <v>0</v>
      </c>
      <c r="G5" s="251">
        <f>SUMIFS('Salary &amp; Fringe'!$O$1:'Salary &amp; Fringe'!$O$300,'Salary &amp; Fringe'!$E$1:'Salary &amp; Fringe'!$E$300,"Senior Person 1",'Salary &amp; Fringe'!$F$1:'Salary &amp; Fringe'!$F$300,"Academic")</f>
        <v>0</v>
      </c>
      <c r="H5" s="251">
        <f>SUMIFS('Salary &amp; Fringe'!$O$1:'Salary &amp; Fringe'!$O$300,'Salary &amp; Fringe'!$E$1:'Salary &amp; Fringe'!$E$300,"Senior Person 1",'Salary &amp; Fringe'!$F$1:'Salary &amp; Fringe'!$F$300,"Summer")</f>
        <v>0</v>
      </c>
      <c r="I5" s="247">
        <f>SUMIF('Salary &amp; Fringe'!$E$1:$E$300,"Senior Person 1",'Salary &amp; Fringe'!$Y$1:$Y$300)</f>
        <v>0</v>
      </c>
      <c r="J5" s="247">
        <f>SUMIF('Salary &amp; Fringe'!$E$1:$E$300,"Senior Person 1",'Salary &amp; Fringe'!$AI$1:$AI$300)</f>
        <v>0</v>
      </c>
      <c r="K5" s="247">
        <f>I5+J5</f>
        <v>0</v>
      </c>
    </row>
    <row r="6" spans="1:11" s="217" customFormat="1" ht="15" x14ac:dyDescent="0.25">
      <c r="A6" s="222" t="str">
        <f>IF(B6&gt;0,(INDEX('Salary &amp; Fringe'!$A$1:$A$300,MATCH("Senior Person 2",'Salary &amp; Fringe'!$E$1:$E$300,FALSE),1)),"")</f>
        <v/>
      </c>
      <c r="B6" s="247">
        <f t="shared" ref="B6:B9" si="0">IFERROR(IF(F6&gt;0, C6, D6+E6),0)</f>
        <v>0</v>
      </c>
      <c r="C6" s="247">
        <f t="shared" ref="C6:C9" si="1">IFERROR(IF(F6&gt;0, (I6/SUM(F6:H6)*12),0),0)</f>
        <v>0</v>
      </c>
      <c r="D6" s="247">
        <f t="shared" ref="D6:D9" si="2">IFERROR(IF($C6=0, (I6/SUM(F6:H6)*9),0),0)</f>
        <v>0</v>
      </c>
      <c r="E6" s="247">
        <f t="shared" ref="E6:E9" si="3">IFERROR(IF($C6=0, (I6/SUM(F6:H6)*3),0),0)</f>
        <v>0</v>
      </c>
      <c r="F6" s="251">
        <f>SUMIFS('Salary &amp; Fringe'!$O$1:'Salary &amp; Fringe'!$O$300,'Salary &amp; Fringe'!$E$1:'Salary &amp; Fringe'!$E$300,"Senior Person 2",'Salary &amp; Fringe'!$F$1:'Salary &amp; Fringe'!$F$300,"Calendar*")</f>
        <v>0</v>
      </c>
      <c r="G6" s="251">
        <f>SUMIFS('Salary &amp; Fringe'!$O$1:'Salary &amp; Fringe'!$O$300,'Salary &amp; Fringe'!$E$1:'Salary &amp; Fringe'!$E$300,"Senior Person 2",'Salary &amp; Fringe'!$F$1:'Salary &amp; Fringe'!$F$300,"Academic")</f>
        <v>0</v>
      </c>
      <c r="H6" s="251">
        <f>SUMIFS('Salary &amp; Fringe'!$O$1:'Salary &amp; Fringe'!$O$300,'Salary &amp; Fringe'!$E$1:'Salary &amp; Fringe'!$E$300,"Senior Person 2",'Salary &amp; Fringe'!$F$1:'Salary &amp; Fringe'!$F$300,"Summer")</f>
        <v>0</v>
      </c>
      <c r="I6" s="247">
        <f>SUMIF('Salary &amp; Fringe'!$E$1:$E$300,"Senior Person 2",'Salary &amp; Fringe'!$Y$1:$Y$300)</f>
        <v>0</v>
      </c>
      <c r="J6" s="247">
        <f>SUMIF('Salary &amp; Fringe'!$E$1:$E$300,"Senior Person 2",'Salary &amp; Fringe'!$AI$1:$AI$300)</f>
        <v>0</v>
      </c>
      <c r="K6" s="247">
        <f t="shared" ref="K6:K10" si="4">I6+J6</f>
        <v>0</v>
      </c>
    </row>
    <row r="7" spans="1:11" s="217" customFormat="1" ht="15" x14ac:dyDescent="0.25">
      <c r="A7" s="222" t="str">
        <f>IF(B7&gt;0,(INDEX('Salary &amp; Fringe'!$A$1:$A$300,MATCH("Senior Person 3",'Salary &amp; Fringe'!$E$1:$E$300,FALSE),1)),"")</f>
        <v/>
      </c>
      <c r="B7" s="247">
        <f t="shared" si="0"/>
        <v>0</v>
      </c>
      <c r="C7" s="247">
        <f t="shared" si="1"/>
        <v>0</v>
      </c>
      <c r="D7" s="247">
        <f t="shared" si="2"/>
        <v>0</v>
      </c>
      <c r="E7" s="247">
        <f t="shared" si="3"/>
        <v>0</v>
      </c>
      <c r="F7" s="251">
        <f>SUMIFS('Salary &amp; Fringe'!$O$1:'Salary &amp; Fringe'!$O$300,'Salary &amp; Fringe'!$E$1:'Salary &amp; Fringe'!$E$300,"Senior Person 3",'Salary &amp; Fringe'!$F$1:'Salary &amp; Fringe'!$F$300,"Calendar*")</f>
        <v>0</v>
      </c>
      <c r="G7" s="251">
        <f>SUMIFS('Salary &amp; Fringe'!$O$1:'Salary &amp; Fringe'!$O$300,'Salary &amp; Fringe'!$E$1:'Salary &amp; Fringe'!$E$300,"Senior Person 3",'Salary &amp; Fringe'!$F$1:'Salary &amp; Fringe'!$F$300,"Academic")</f>
        <v>0</v>
      </c>
      <c r="H7" s="251">
        <f>SUMIFS('Salary &amp; Fringe'!$O$1:'Salary &amp; Fringe'!$O$300,'Salary &amp; Fringe'!$E$1:'Salary &amp; Fringe'!$E$300,"Senior Person 3",'Salary &amp; Fringe'!$F$1:'Salary &amp; Fringe'!$F$300,"Summer")</f>
        <v>0</v>
      </c>
      <c r="I7" s="247">
        <f>SUMIF('Salary &amp; Fringe'!$E$1:$E$300,"Senior Person 3",'Salary &amp; Fringe'!$Y$1:$Y$300)</f>
        <v>0</v>
      </c>
      <c r="J7" s="247">
        <f>SUMIF('Salary &amp; Fringe'!$E$1:$E$300,"Senior Person 3",'Salary &amp; Fringe'!$AI$1:$AI$300)</f>
        <v>0</v>
      </c>
      <c r="K7" s="247">
        <f t="shared" si="4"/>
        <v>0</v>
      </c>
    </row>
    <row r="8" spans="1:11" s="217" customFormat="1" ht="15" x14ac:dyDescent="0.25">
      <c r="A8" s="222" t="str">
        <f>IF(B8&gt;0,(INDEX('Salary &amp; Fringe'!$A$1:$A$300,MATCH("Senior Person 4",'Salary &amp; Fringe'!$E$1:$E$300,FALSE),1)),"")</f>
        <v/>
      </c>
      <c r="B8" s="247">
        <f t="shared" si="0"/>
        <v>0</v>
      </c>
      <c r="C8" s="247">
        <f t="shared" si="1"/>
        <v>0</v>
      </c>
      <c r="D8" s="247">
        <f t="shared" si="2"/>
        <v>0</v>
      </c>
      <c r="E8" s="247">
        <f t="shared" si="3"/>
        <v>0</v>
      </c>
      <c r="F8" s="251">
        <f>SUMIFS('Salary &amp; Fringe'!$O$1:'Salary &amp; Fringe'!$O$300,'Salary &amp; Fringe'!$E$1:'Salary &amp; Fringe'!$E$300,"Senior Person 4",'Salary &amp; Fringe'!$F$1:'Salary &amp; Fringe'!$F$300,"Calendar*")</f>
        <v>0</v>
      </c>
      <c r="G8" s="251">
        <f>SUMIFS('Salary &amp; Fringe'!$O$1:'Salary &amp; Fringe'!$O$300,'Salary &amp; Fringe'!$E$1:'Salary &amp; Fringe'!$E$300,"Senior Person 4",'Salary &amp; Fringe'!$F$1:'Salary &amp; Fringe'!$F$300,"Academic")</f>
        <v>0</v>
      </c>
      <c r="H8" s="251">
        <f>SUMIFS('Salary &amp; Fringe'!$O$1:'Salary &amp; Fringe'!$O$300,'Salary &amp; Fringe'!$E$1:'Salary &amp; Fringe'!$E$300,"Senior Person 4",'Salary &amp; Fringe'!$F$1:'Salary &amp; Fringe'!$F$300,"Summer")</f>
        <v>0</v>
      </c>
      <c r="I8" s="247">
        <f>SUMIF('Salary &amp; Fringe'!$E$1:$E$300,"Senior Person 4",'Salary &amp; Fringe'!$Y$1:$Y$300)</f>
        <v>0</v>
      </c>
      <c r="J8" s="247">
        <f>SUMIF('Salary &amp; Fringe'!$E$1:$E$300,"Senior Person 4",'Salary &amp; Fringe'!$AI$1:$AI$300)</f>
        <v>0</v>
      </c>
      <c r="K8" s="247">
        <f t="shared" si="4"/>
        <v>0</v>
      </c>
    </row>
    <row r="9" spans="1:11" s="217" customFormat="1" ht="15" x14ac:dyDescent="0.25">
      <c r="A9" s="222" t="str">
        <f>IF(B9&gt;0,(INDEX('Salary &amp; Fringe'!$A$1:$A$300,MATCH("Senior Person 5",'Salary &amp; Fringe'!$E$1:$E$300,FALSE),1)),"")</f>
        <v/>
      </c>
      <c r="B9" s="247">
        <f t="shared" si="0"/>
        <v>0</v>
      </c>
      <c r="C9" s="247">
        <f t="shared" si="1"/>
        <v>0</v>
      </c>
      <c r="D9" s="247">
        <f t="shared" si="2"/>
        <v>0</v>
      </c>
      <c r="E9" s="247">
        <f t="shared" si="3"/>
        <v>0</v>
      </c>
      <c r="F9" s="251">
        <f>SUMIFS('Salary &amp; Fringe'!$O$1:'Salary &amp; Fringe'!$O$300,'Salary &amp; Fringe'!$E$1:'Salary &amp; Fringe'!$E$300,"Senior Person 5",'Salary &amp; Fringe'!$F$1:'Salary &amp; Fringe'!$F$300,"Calendar*")</f>
        <v>0</v>
      </c>
      <c r="G9" s="251">
        <f>SUMIFS('Salary &amp; Fringe'!$O$1:'Salary &amp; Fringe'!$O$300,'Salary &amp; Fringe'!$E$1:'Salary &amp; Fringe'!$E$300,"Senior Person 5",'Salary &amp; Fringe'!$F$1:'Salary &amp; Fringe'!$F$300,"Academic")</f>
        <v>0</v>
      </c>
      <c r="H9" s="251">
        <f>SUMIFS('Salary &amp; Fringe'!$O$1:'Salary &amp; Fringe'!$O$300,'Salary &amp; Fringe'!$E$1:'Salary &amp; Fringe'!$E$300,"Senior Person 5",'Salary &amp; Fringe'!$F$1:'Salary &amp; Fringe'!$F$300,"Summer")</f>
        <v>0</v>
      </c>
      <c r="I9" s="247">
        <f>SUMIF('Salary &amp; Fringe'!$E$1:$E$300,"Senior Person 5",'Salary &amp; Fringe'!$Y$1:$Y$300)</f>
        <v>0</v>
      </c>
      <c r="J9" s="247">
        <f>SUMIF('Salary &amp; Fringe'!$E$1:$E$300,"Senior Person 5",'Salary &amp; Fringe'!$AI$1:$AI$300)</f>
        <v>0</v>
      </c>
      <c r="K9" s="247">
        <f t="shared" si="4"/>
        <v>0</v>
      </c>
    </row>
    <row r="10" spans="1:11" s="217" customFormat="1" thickBot="1" x14ac:dyDescent="0.3">
      <c r="A10" s="224"/>
      <c r="B10" s="241"/>
      <c r="C10" s="241"/>
      <c r="D10" s="241"/>
      <c r="E10" s="241"/>
      <c r="F10" s="583" t="s">
        <v>366</v>
      </c>
      <c r="G10" s="584"/>
      <c r="H10" s="585"/>
      <c r="I10" s="247">
        <f>SUMIF('Salary &amp; Fringe'!$E$1:$E$300,"Senior (Other)",'Salary &amp; Fringe'!$Y$1:$Y$300)</f>
        <v>0</v>
      </c>
      <c r="J10" s="247">
        <f>SUMIF('Salary &amp; Fringe'!$E$1:$E$300,"Senior (Other)",'Salary &amp; Fringe'!$AI$1:$AI$300)</f>
        <v>0</v>
      </c>
      <c r="K10" s="247">
        <f t="shared" si="4"/>
        <v>0</v>
      </c>
    </row>
    <row r="11" spans="1:11" s="217" customFormat="1" thickBot="1" x14ac:dyDescent="0.3">
      <c r="I11" s="583" t="s">
        <v>361</v>
      </c>
      <c r="J11" s="586"/>
      <c r="K11" s="235">
        <f>SUM(K5:K10)</f>
        <v>0</v>
      </c>
    </row>
    <row r="12" spans="1:11" x14ac:dyDescent="0.25">
      <c r="A12" s="126" t="s">
        <v>102</v>
      </c>
    </row>
    <row r="13" spans="1:11" s="221" customFormat="1" ht="15" x14ac:dyDescent="0.25">
      <c r="A13" s="223" t="s">
        <v>341</v>
      </c>
      <c r="B13" s="587" t="s">
        <v>342</v>
      </c>
      <c r="C13" s="587"/>
      <c r="D13" s="249" t="s">
        <v>343</v>
      </c>
      <c r="E13" s="249" t="s">
        <v>344</v>
      </c>
      <c r="F13" s="249" t="s">
        <v>345</v>
      </c>
      <c r="G13" s="587" t="s">
        <v>338</v>
      </c>
      <c r="H13" s="587"/>
      <c r="I13" s="587" t="s">
        <v>339</v>
      </c>
      <c r="J13" s="587"/>
      <c r="K13" s="249" t="s">
        <v>346</v>
      </c>
    </row>
    <row r="14" spans="1:11" s="217" customFormat="1" ht="15" x14ac:dyDescent="0.25">
      <c r="A14" s="239">
        <f>SUMIFS('Salary &amp; Fringe'!$I$1:$I$300,'Salary &amp; Fringe'!$E$1:$E$300,"Postdoc", 'Salary &amp; Fringe'!$O$1:'Salary &amp; Fringe'!$O$300, "&gt;0")</f>
        <v>0</v>
      </c>
      <c r="B14" s="580" t="s">
        <v>103</v>
      </c>
      <c r="C14" s="580"/>
      <c r="D14" s="251">
        <f>SUMIFS('Salary &amp; Fringe'!$O$1:'Salary &amp; Fringe'!$O$300,'Salary &amp; Fringe'!$E$1:'Salary &amp; Fringe'!$E$300,"Postdoc",'Salary &amp; Fringe'!$F$1:'Salary &amp; Fringe'!$F$300,"Calendar*")+SUMIFS('Salary &amp; Fringe'!$O$1:'Salary &amp; Fringe'!$O$300,'Salary &amp; Fringe'!$E$1:'Salary &amp; Fringe'!$E$300,"Postdoc",'Salary &amp; Fringe'!$F$1:'Salary &amp; Fringe'!$F$300,"Hourly")</f>
        <v>0</v>
      </c>
      <c r="E14" s="251">
        <f>SUMIFS('Salary &amp; Fringe'!$O$1:'Salary &amp; Fringe'!$O$300,'Salary &amp; Fringe'!$E$1:'Salary &amp; Fringe'!$E$300,"Postdoc",'Salary &amp; Fringe'!$F$1:'Salary &amp; Fringe'!$F$300,"Academic")</f>
        <v>0</v>
      </c>
      <c r="F14" s="251">
        <f>SUMIFS('Salary &amp; Fringe'!$O$1:'Salary &amp; Fringe'!$O$300,'Salary &amp; Fringe'!$E$1:'Salary &amp; Fringe'!$E$300,"Postdoc",'Salary &amp; Fringe'!$F$1:'Salary &amp; Fringe'!$F$300,"Summer")</f>
        <v>0</v>
      </c>
      <c r="G14" s="581">
        <f>SUMIF('Salary &amp; Fringe'!$E$1:$E$300,"Postdoc",'Salary &amp; Fringe'!$Y$1:$Y$300)</f>
        <v>0</v>
      </c>
      <c r="H14" s="582"/>
      <c r="I14" s="581">
        <f>SUMIF('Salary &amp; Fringe'!$E$1:$E$300,"Postdoc",'Salary &amp; Fringe'!$AI$1:$AI$300)</f>
        <v>0</v>
      </c>
      <c r="J14" s="582"/>
      <c r="K14" s="247">
        <f>G14+I14</f>
        <v>0</v>
      </c>
    </row>
    <row r="15" spans="1:11" s="217" customFormat="1" ht="15" x14ac:dyDescent="0.25">
      <c r="A15" s="243"/>
      <c r="B15" s="580" t="s">
        <v>105</v>
      </c>
      <c r="C15" s="580"/>
      <c r="D15" s="251">
        <f>SUMIFS('Salary &amp; Fringe'!$O$1:'Salary &amp; Fringe'!$O$300,'Salary &amp; Fringe'!$E$1:'Salary &amp; Fringe'!$E$300,"Grad",'Salary &amp; Fringe'!$F$1:'Salary &amp; Fringe'!$F$300,"Calendar*")+SUMIFS('Salary &amp; Fringe'!$O$1:'Salary &amp; Fringe'!$O$300,'Salary &amp; Fringe'!$E$1:'Salary &amp; Fringe'!$E$300,"Grad",'Salary &amp; Fringe'!$F$1:'Salary &amp; Fringe'!$F$300,"Hourly")</f>
        <v>0</v>
      </c>
      <c r="E15" s="251">
        <f>SUMIFS('Salary &amp; Fringe'!$O$1:'Salary &amp; Fringe'!$O$300,'Salary &amp; Fringe'!$E$1:'Salary &amp; Fringe'!$E$300,"Grad",'Salary &amp; Fringe'!$F$1:'Salary &amp; Fringe'!$F$300,"Academic")*2</f>
        <v>0</v>
      </c>
      <c r="F15" s="251">
        <f>SUMIFS('Salary &amp; Fringe'!$O$1:'Salary &amp; Fringe'!$O$300,'Salary &amp; Fringe'!$E$1:'Salary &amp; Fringe'!$E$300,"Grad",'Salary &amp; Fringe'!$F$1:'Salary &amp; Fringe'!$F$300,"Summer")*2</f>
        <v>0</v>
      </c>
      <c r="G15" s="588">
        <f>SUMIF('Salary &amp; Fringe'!$E$1:$E$300,"Grad",'Salary &amp; Fringe'!$Y$1:$Y$300)</f>
        <v>0</v>
      </c>
      <c r="H15" s="588"/>
      <c r="I15" s="588">
        <f>SUMIF('Salary &amp; Fringe'!$E$1:$E$300,"Grad",'Salary &amp; Fringe'!$AI$1:$AI$300)</f>
        <v>0</v>
      </c>
      <c r="J15" s="588"/>
      <c r="K15" s="247">
        <f t="shared" ref="K15:K23" si="5">G15+I15</f>
        <v>0</v>
      </c>
    </row>
    <row r="16" spans="1:11" s="217" customFormat="1" ht="15" x14ac:dyDescent="0.25">
      <c r="A16" s="243"/>
      <c r="B16" s="580" t="s">
        <v>367</v>
      </c>
      <c r="C16" s="580"/>
      <c r="D16" s="251">
        <f>SUMIF('Salary &amp; Fringe'!$E$1:$E$300,"Undergrad",'Salary &amp; Fringe'!$O$1:$O$300)</f>
        <v>0</v>
      </c>
      <c r="E16" s="251">
        <v>0</v>
      </c>
      <c r="F16" s="251">
        <v>0</v>
      </c>
      <c r="G16" s="588">
        <f>SUMIF('Salary &amp; Fringe'!$E$1:$E$300,"Undergrad",'Salary &amp; Fringe'!$Y$1:$Y$300)</f>
        <v>0</v>
      </c>
      <c r="H16" s="588"/>
      <c r="I16" s="588">
        <f>SUMIF('Salary &amp; Fringe'!$E$1:$E$300,"Undergrad",'Salary &amp; Fringe'!$AI$1:$AI$300)</f>
        <v>0</v>
      </c>
      <c r="J16" s="588"/>
      <c r="K16" s="247">
        <f t="shared" si="5"/>
        <v>0</v>
      </c>
    </row>
    <row r="17" spans="1:11" s="217" customFormat="1" ht="15" x14ac:dyDescent="0.25">
      <c r="A17" s="251">
        <f>SUMIFS('Salary &amp; Fringe'!$I$1:$I$300,'Salary &amp; Fringe'!$E$1:$E$300,"Clerical", 'Salary &amp; Fringe'!$O$1:'Salary &amp; Fringe'!$O$300, "&gt;0")</f>
        <v>0</v>
      </c>
      <c r="B17" s="580" t="s">
        <v>348</v>
      </c>
      <c r="C17" s="580"/>
      <c r="D17" s="251">
        <f>SUMIFS('Salary &amp; Fringe'!$O$1:'Salary &amp; Fringe'!$O$300,'Salary &amp; Fringe'!$E$1:'Salary &amp; Fringe'!$E$300,"Clerical",'Salary &amp; Fringe'!$F$1:'Salary &amp; Fringe'!$F$300,"Calendar*")+SUMIFS('Salary &amp; Fringe'!$O$1:'Salary &amp; Fringe'!$O$300,'Salary &amp; Fringe'!$E$1:'Salary &amp; Fringe'!$E$300,"Clerical",'Salary &amp; Fringe'!$F$1:'Salary &amp; Fringe'!$F$300,"Hourly")</f>
        <v>0</v>
      </c>
      <c r="E17" s="251">
        <f>SUMIFS('Salary &amp; Fringe'!$O$1:'Salary &amp; Fringe'!$O$300,'Salary &amp; Fringe'!$E$1:'Salary &amp; Fringe'!$E$300,"Clerical",'Salary &amp; Fringe'!$F$1:'Salary &amp; Fringe'!$F$300,"Academic")</f>
        <v>0</v>
      </c>
      <c r="F17" s="251">
        <f>SUMIFS('Salary &amp; Fringe'!$O$1:'Salary &amp; Fringe'!$O$300,'Salary &amp; Fringe'!$E$1:'Salary &amp; Fringe'!$E$300,"Clerical",'Salary &amp; Fringe'!$F$1:'Salary &amp; Fringe'!$F$300,"Summer")</f>
        <v>0</v>
      </c>
      <c r="G17" s="588">
        <f>SUMIF('Salary &amp; Fringe'!$E$1:$E$300,"Clerical",'Salary &amp; Fringe'!$Y$1:$Y$300)</f>
        <v>0</v>
      </c>
      <c r="H17" s="588"/>
      <c r="I17" s="588">
        <f>SUMIF('Salary &amp; Fringe'!$E$1:$E$300,"Clerical",'Salary &amp; Fringe'!$AI$1:$AI$300)</f>
        <v>0</v>
      </c>
      <c r="J17" s="588"/>
      <c r="K17" s="247">
        <f t="shared" si="5"/>
        <v>0</v>
      </c>
    </row>
    <row r="18" spans="1:11" s="217" customFormat="1" ht="15" x14ac:dyDescent="0.25">
      <c r="A18" s="251">
        <f>SUMIFS('Salary &amp; Fringe'!$I$1:$I$300,'Salary &amp; Fringe'!$E$1:$E$300,"Other 1", 'Salary &amp; Fringe'!$O$1:'Salary &amp; Fringe'!$O$300, "&gt;0")</f>
        <v>0</v>
      </c>
      <c r="B18" s="580" t="str">
        <f>IF(G18&gt;0,(INDEX('Salary &amp; Fringe'!$B$1:$B$300,MATCH("Other 1",'Salary &amp; Fringe'!$E$1:$E$300,FALSE),1)),"")</f>
        <v/>
      </c>
      <c r="C18" s="580"/>
      <c r="D18" s="251">
        <f>SUMIFS('Salary &amp; Fringe'!$O$1:'Salary &amp; Fringe'!$O$300,'Salary &amp; Fringe'!$E$1:'Salary &amp; Fringe'!$E$300,"Other 1",'Salary &amp; Fringe'!$F$1:'Salary &amp; Fringe'!$F$300,"Calendar*")+SUMIFS('Salary &amp; Fringe'!$O$1:'Salary &amp; Fringe'!$O$300,'Salary &amp; Fringe'!$E$1:'Salary &amp; Fringe'!$E$300,"Other 1",'Salary &amp; Fringe'!$F$1:'Salary &amp; Fringe'!$F$300,"Hourly")</f>
        <v>0</v>
      </c>
      <c r="E18" s="251">
        <f>SUMIFS('Salary &amp; Fringe'!$O$1:'Salary &amp; Fringe'!$O$300,'Salary &amp; Fringe'!$E$1:'Salary &amp; Fringe'!$E$300,"Other 1",'Salary &amp; Fringe'!$F$1:'Salary &amp; Fringe'!$F$300,"Academic")</f>
        <v>0</v>
      </c>
      <c r="F18" s="251">
        <f>SUMIFS('Salary &amp; Fringe'!$O$1:'Salary &amp; Fringe'!$O$300,'Salary &amp; Fringe'!$E$1:'Salary &amp; Fringe'!$E$300,"Other 1",'Salary &amp; Fringe'!$F$1:'Salary &amp; Fringe'!$F$300,"Summer")</f>
        <v>0</v>
      </c>
      <c r="G18" s="588">
        <f>SUMIF('Salary &amp; Fringe'!$E$1:$E$300,"Other 1",'Salary &amp; Fringe'!$Y$1:$Y$300)</f>
        <v>0</v>
      </c>
      <c r="H18" s="588"/>
      <c r="I18" s="588">
        <f>SUMIF('Salary &amp; Fringe'!$E$1:$E$300,"Other 1",'Salary &amp; Fringe'!$AI$1:$AI$300)</f>
        <v>0</v>
      </c>
      <c r="J18" s="588"/>
      <c r="K18" s="247">
        <f t="shared" si="5"/>
        <v>0</v>
      </c>
    </row>
    <row r="19" spans="1:11" s="217" customFormat="1" ht="15" x14ac:dyDescent="0.25">
      <c r="A19" s="251">
        <f>SUMIFS('Salary &amp; Fringe'!$I$1:$I$300,'Salary &amp; Fringe'!$E$1:$E$300,"Other 2", 'Salary &amp; Fringe'!$O$1:'Salary &amp; Fringe'!$O$300, "&gt;0")</f>
        <v>0</v>
      </c>
      <c r="B19" s="580" t="str">
        <f>IF(G19&gt;0,(INDEX('Salary &amp; Fringe'!$B$1:$B$300,MATCH("Other 2",'Salary &amp; Fringe'!$E$1:$E$300,FALSE),1)),"")</f>
        <v/>
      </c>
      <c r="C19" s="580"/>
      <c r="D19" s="251">
        <f>SUMIFS('Salary &amp; Fringe'!$O$1:'Salary &amp; Fringe'!$O$300,'Salary &amp; Fringe'!$E$1:'Salary &amp; Fringe'!$E$300,"Other 2",'Salary &amp; Fringe'!$F$1:'Salary &amp; Fringe'!$F$300,"Calendar*")+SUMIFS('Salary &amp; Fringe'!$O$1:'Salary &amp; Fringe'!$O$300,'Salary &amp; Fringe'!$E$1:'Salary &amp; Fringe'!$E$300,"Other 2",'Salary &amp; Fringe'!$F$1:'Salary &amp; Fringe'!$F$300,"Hourly")</f>
        <v>0</v>
      </c>
      <c r="E19" s="251">
        <f>SUMIFS('Salary &amp; Fringe'!$O$1:'Salary &amp; Fringe'!$O$300,'Salary &amp; Fringe'!$E$1:'Salary &amp; Fringe'!$E$300,"Other 2",'Salary &amp; Fringe'!$F$1:'Salary &amp; Fringe'!$F$300,"Academic")</f>
        <v>0</v>
      </c>
      <c r="F19" s="251">
        <f>SUMIFS('Salary &amp; Fringe'!$O$1:'Salary &amp; Fringe'!$O$300,'Salary &amp; Fringe'!$E$1:'Salary &amp; Fringe'!$E$300,"Other 2",'Salary &amp; Fringe'!$F$1:'Salary &amp; Fringe'!$F$300,"Summer")</f>
        <v>0</v>
      </c>
      <c r="G19" s="588">
        <f>SUMIF('Salary &amp; Fringe'!$E$1:$E$300,"Other 2",'Salary &amp; Fringe'!$Y$1:$Y$300)</f>
        <v>0</v>
      </c>
      <c r="H19" s="588"/>
      <c r="I19" s="588">
        <f>SUMIF('Salary &amp; Fringe'!$E$1:$E$300,"Other 2",'Salary &amp; Fringe'!$AI$1:$AI$300)</f>
        <v>0</v>
      </c>
      <c r="J19" s="588"/>
      <c r="K19" s="247">
        <f t="shared" si="5"/>
        <v>0</v>
      </c>
    </row>
    <row r="20" spans="1:11" s="217" customFormat="1" ht="15" x14ac:dyDescent="0.25">
      <c r="A20" s="251">
        <f>SUMIFS('Salary &amp; Fringe'!$I$1:$I$300,'Salary &amp; Fringe'!$E$1:$E$300,"Other 3", 'Salary &amp; Fringe'!$O$1:'Salary &amp; Fringe'!$O$300, "&gt;0")</f>
        <v>0</v>
      </c>
      <c r="B20" s="580" t="str">
        <f>IF(G20&gt;0,(INDEX('Salary &amp; Fringe'!$B$1:$B$300,MATCH("Other 3",'Salary &amp; Fringe'!$E$1:$E$300,FALSE),1)),"")</f>
        <v/>
      </c>
      <c r="C20" s="580"/>
      <c r="D20" s="251">
        <f>SUMIFS('Salary &amp; Fringe'!$O$1:'Salary &amp; Fringe'!$O$300,'Salary &amp; Fringe'!$E$1:'Salary &amp; Fringe'!$E$300,"Other 3",'Salary &amp; Fringe'!$F$1:'Salary &amp; Fringe'!$F$300,"Calendar*")+SUMIFS('Salary &amp; Fringe'!$O$1:'Salary &amp; Fringe'!$O$300,'Salary &amp; Fringe'!$E$1:'Salary &amp; Fringe'!$E$300,"Other 3",'Salary &amp; Fringe'!$F$1:'Salary &amp; Fringe'!$F$300,"Hourly")</f>
        <v>0</v>
      </c>
      <c r="E20" s="251">
        <f>SUMIFS('Salary &amp; Fringe'!$O$1:'Salary &amp; Fringe'!$O$300,'Salary &amp; Fringe'!$E$1:'Salary &amp; Fringe'!$E$300,"Other 3",'Salary &amp; Fringe'!$F$1:'Salary &amp; Fringe'!$F$300,"Academic")</f>
        <v>0</v>
      </c>
      <c r="F20" s="251">
        <f>SUMIFS('Salary &amp; Fringe'!$O$1:'Salary &amp; Fringe'!$O$300,'Salary &amp; Fringe'!$E$1:'Salary &amp; Fringe'!$E$300,"Other 3",'Salary &amp; Fringe'!$F$1:'Salary &amp; Fringe'!$F$300,"Summer")</f>
        <v>0</v>
      </c>
      <c r="G20" s="588">
        <f>SUMIF('Salary &amp; Fringe'!$E$1:$E$300,"Other 3",'Salary &amp; Fringe'!$Y$1:$Y$300)</f>
        <v>0</v>
      </c>
      <c r="H20" s="588"/>
      <c r="I20" s="588">
        <f>SUMIF('Salary &amp; Fringe'!$E$1:$E$300,"Other 3",'Salary &amp; Fringe'!$AI$1:$AI$300)</f>
        <v>0</v>
      </c>
      <c r="J20" s="588"/>
      <c r="K20" s="247">
        <f t="shared" si="5"/>
        <v>0</v>
      </c>
    </row>
    <row r="21" spans="1:11" s="217" customFormat="1" ht="15" x14ac:dyDescent="0.25">
      <c r="A21" s="251">
        <f>SUMIFS('Salary &amp; Fringe'!$I$1:$I$300,'Salary &amp; Fringe'!$E$1:$E$300,"Other 4", 'Salary &amp; Fringe'!$O$1:'Salary &amp; Fringe'!$O$300, "&gt;0")</f>
        <v>0</v>
      </c>
      <c r="B21" s="580" t="str">
        <f>IF(G21&gt;0,(INDEX('Salary &amp; Fringe'!$B$1:$B$300,MATCH("Other 4",'Salary &amp; Fringe'!$E$1:$E$300,FALSE),1)),"")</f>
        <v/>
      </c>
      <c r="C21" s="580"/>
      <c r="D21" s="251">
        <f>SUMIFS('Salary &amp; Fringe'!$O$1:'Salary &amp; Fringe'!$O$300,'Salary &amp; Fringe'!$E$1:'Salary &amp; Fringe'!$E$300,"Other 4",'Salary &amp; Fringe'!$F$1:'Salary &amp; Fringe'!$F$300,"Calendar*")+SUMIFS('Salary &amp; Fringe'!$O$1:'Salary &amp; Fringe'!$O$300,'Salary &amp; Fringe'!$E$1:'Salary &amp; Fringe'!$E$300,"Other 4",'Salary &amp; Fringe'!$F$1:'Salary &amp; Fringe'!$F$300,"Hourly")</f>
        <v>0</v>
      </c>
      <c r="E21" s="251">
        <f>SUMIFS('Salary &amp; Fringe'!$O$1:'Salary &amp; Fringe'!$O$300,'Salary &amp; Fringe'!$E$1:'Salary &amp; Fringe'!$E$300,"Other 4",'Salary &amp; Fringe'!$F$1:'Salary &amp; Fringe'!$F$300,"Academic")</f>
        <v>0</v>
      </c>
      <c r="F21" s="251">
        <f>SUMIFS('Salary &amp; Fringe'!$O$1:'Salary &amp; Fringe'!$O$300,'Salary &amp; Fringe'!$E$1:'Salary &amp; Fringe'!$E$300,"Other 4",'Salary &amp; Fringe'!$F$1:'Salary &amp; Fringe'!$F$300,"Summer")</f>
        <v>0</v>
      </c>
      <c r="G21" s="588">
        <f>SUMIF('Salary &amp; Fringe'!$E$1:$E$300,"Other 4",'Salary &amp; Fringe'!$Y$1:$Y$300)</f>
        <v>0</v>
      </c>
      <c r="H21" s="588"/>
      <c r="I21" s="588">
        <f>SUMIF('Salary &amp; Fringe'!$E$1:$E$300,"Other 4",'Salary &amp; Fringe'!$AI$1:$AI$300)</f>
        <v>0</v>
      </c>
      <c r="J21" s="588"/>
      <c r="K21" s="247">
        <f t="shared" si="5"/>
        <v>0</v>
      </c>
    </row>
    <row r="22" spans="1:11" s="217" customFormat="1" ht="15" x14ac:dyDescent="0.25">
      <c r="A22" s="251">
        <f>SUMIFS('Salary &amp; Fringe'!$I$1:$I$300,'Salary &amp; Fringe'!$E$1:$E$300,"Other 5", 'Salary &amp; Fringe'!$O$1:'Salary &amp; Fringe'!$O$300, "&gt;0")</f>
        <v>0</v>
      </c>
      <c r="B22" s="580" t="str">
        <f>IF(G22&gt;0,(INDEX('Salary &amp; Fringe'!$B$1:$B$300,MATCH("Other 5",'Salary &amp; Fringe'!$E$1:$E$300,FALSE),1)),"")</f>
        <v/>
      </c>
      <c r="C22" s="580"/>
      <c r="D22" s="251">
        <f>SUMIFS('Salary &amp; Fringe'!$O$1:'Salary &amp; Fringe'!$O$300,'Salary &amp; Fringe'!$E$1:'Salary &amp; Fringe'!$E$300,"Other 5",'Salary &amp; Fringe'!$F$1:'Salary &amp; Fringe'!$F$300,"Calendar*")+SUMIFS('Salary &amp; Fringe'!$O$1:'Salary &amp; Fringe'!$O$300,'Salary &amp; Fringe'!$E$1:'Salary &amp; Fringe'!$E$300,"Other 5",'Salary &amp; Fringe'!$F$1:'Salary &amp; Fringe'!$F$300,"Hourly")</f>
        <v>0</v>
      </c>
      <c r="E22" s="251">
        <f>SUMIFS('Salary &amp; Fringe'!$O$1:'Salary &amp; Fringe'!$O$300,'Salary &amp; Fringe'!$E$1:'Salary &amp; Fringe'!$E$300,"Other 5",'Salary &amp; Fringe'!$F$1:'Salary &amp; Fringe'!$F$300,"Academic")</f>
        <v>0</v>
      </c>
      <c r="F22" s="251">
        <f>SUMIFS('Salary &amp; Fringe'!$O$1:'Salary &amp; Fringe'!$O$300,'Salary &amp; Fringe'!$E$1:'Salary &amp; Fringe'!$E$300,"Other 5",'Salary &amp; Fringe'!$F$1:'Salary &amp; Fringe'!$F$300,"Summer")</f>
        <v>0</v>
      </c>
      <c r="G22" s="588">
        <f>SUMIF('Salary &amp; Fringe'!$E$1:$E$300,"Other 5",'Salary &amp; Fringe'!$Y$1:$Y$300)</f>
        <v>0</v>
      </c>
      <c r="H22" s="588"/>
      <c r="I22" s="588">
        <f>SUMIF('Salary &amp; Fringe'!$E$1:$E$300,"Other 5",'Salary &amp; Fringe'!$AI$1:$AI$300)</f>
        <v>0</v>
      </c>
      <c r="J22" s="588"/>
      <c r="K22" s="247">
        <f t="shared" si="5"/>
        <v>0</v>
      </c>
    </row>
    <row r="23" spans="1:11" s="217" customFormat="1" thickBot="1" x14ac:dyDescent="0.3">
      <c r="A23" s="234">
        <f>SUMIFS('Salary &amp; Fringe'!$I$1:$I$300,'Salary &amp; Fringe'!$E$1:$E$300,"Other 6", 'Salary &amp; Fringe'!$O$1:'Salary &amp; Fringe'!$O$300, "&gt;0")</f>
        <v>0</v>
      </c>
      <c r="B23" s="580" t="str">
        <f>IF(G23&gt;0,(INDEX('Salary &amp; Fringe'!$B$1:$B$300,MATCH("Other 6",'Salary &amp; Fringe'!$E$1:$E$300,FALSE),1)),"")</f>
        <v/>
      </c>
      <c r="C23" s="580"/>
      <c r="D23" s="251">
        <f>SUMIFS('Salary &amp; Fringe'!$O$1:'Salary &amp; Fringe'!$O$300,'Salary &amp; Fringe'!$E$1:'Salary &amp; Fringe'!$E$300,"Other 6",'Salary &amp; Fringe'!$F$1:'Salary &amp; Fringe'!$F$300,"Calendar*")+SUMIFS('Salary &amp; Fringe'!$O$1:'Salary &amp; Fringe'!$O$300,'Salary &amp; Fringe'!$E$1:'Salary &amp; Fringe'!$E$300,"Other 6",'Salary &amp; Fringe'!$F$1:'Salary &amp; Fringe'!$F$300,"Hourly")</f>
        <v>0</v>
      </c>
      <c r="E23" s="251">
        <f>SUMIFS('Salary &amp; Fringe'!$O$1:'Salary &amp; Fringe'!$O$300,'Salary &amp; Fringe'!$E$1:'Salary &amp; Fringe'!$E$300,"Other 6",'Salary &amp; Fringe'!$F$1:'Salary &amp; Fringe'!$F$300,"Academic")</f>
        <v>0</v>
      </c>
      <c r="F23" s="251">
        <f>SUMIFS('Salary &amp; Fringe'!$O$1:'Salary &amp; Fringe'!$O$300,'Salary &amp; Fringe'!$E$1:'Salary &amp; Fringe'!$E$300,"Other 6",'Salary &amp; Fringe'!$F$1:'Salary &amp; Fringe'!$F$300,"Summer")</f>
        <v>0</v>
      </c>
      <c r="G23" s="588">
        <f>SUMIF('Salary &amp; Fringe'!$E$1:$E$300,"Other 6",'Salary &amp; Fringe'!$Y$1:$Y$300)</f>
        <v>0</v>
      </c>
      <c r="H23" s="588"/>
      <c r="I23" s="588">
        <f>SUMIF('Salary &amp; Fringe'!$E$1:$E$300,"Other 6",'Salary &amp; Fringe'!$AI$1:$AI$300)</f>
        <v>0</v>
      </c>
      <c r="J23" s="588"/>
      <c r="K23" s="247">
        <f t="shared" si="5"/>
        <v>0</v>
      </c>
    </row>
    <row r="24" spans="1:11" s="218" customFormat="1" thickBot="1" x14ac:dyDescent="0.3">
      <c r="A24" s="237">
        <f>SUM(A14:A23)</f>
        <v>0</v>
      </c>
      <c r="B24" s="589" t="s">
        <v>376</v>
      </c>
      <c r="C24" s="590"/>
      <c r="D24" s="591"/>
      <c r="H24" s="583" t="s">
        <v>349</v>
      </c>
      <c r="I24" s="584"/>
      <c r="J24" s="585"/>
      <c r="K24" s="240">
        <f>SUM(K14:K23)</f>
        <v>0</v>
      </c>
    </row>
    <row r="25" spans="1:11" s="217" customFormat="1" thickBot="1" x14ac:dyDescent="0.3">
      <c r="A25" s="224"/>
      <c r="H25" s="583" t="s">
        <v>310</v>
      </c>
      <c r="I25" s="584"/>
      <c r="J25" s="585"/>
      <c r="K25" s="235">
        <f>K11+K24</f>
        <v>0</v>
      </c>
    </row>
    <row r="26" spans="1:11" x14ac:dyDescent="0.25">
      <c r="A26" s="126" t="s">
        <v>298</v>
      </c>
    </row>
    <row r="27" spans="1:11" x14ac:dyDescent="0.25">
      <c r="A27" s="593" t="s">
        <v>350</v>
      </c>
      <c r="B27" s="593"/>
      <c r="C27" s="593"/>
      <c r="D27" s="593"/>
      <c r="E27" s="593"/>
      <c r="F27" s="593"/>
      <c r="G27" s="593"/>
      <c r="H27" s="593"/>
      <c r="I27" s="593"/>
      <c r="J27" s="593"/>
      <c r="K27" s="249" t="s">
        <v>346</v>
      </c>
    </row>
    <row r="28" spans="1:11" s="217" customFormat="1" ht="15" x14ac:dyDescent="0.25">
      <c r="A28" s="592" t="str">
        <f>IF(ISBLANK(Budget!J47),"",Budget!A47)</f>
        <v/>
      </c>
      <c r="B28" s="592"/>
      <c r="C28" s="592"/>
      <c r="D28" s="592"/>
      <c r="E28" s="592"/>
      <c r="F28" s="592"/>
      <c r="G28" s="592"/>
      <c r="H28" s="592"/>
      <c r="I28" s="592"/>
      <c r="J28" s="592"/>
      <c r="K28" s="247">
        <f>IF(Budget!J47&gt;0,Budget!J47,0)</f>
        <v>0</v>
      </c>
    </row>
    <row r="29" spans="1:11" s="217" customFormat="1" ht="15" x14ac:dyDescent="0.25">
      <c r="A29" s="592" t="str">
        <f>IF(ISBLANK(Budget!J48),"",Budget!A48)</f>
        <v/>
      </c>
      <c r="B29" s="592"/>
      <c r="C29" s="592"/>
      <c r="D29" s="592"/>
      <c r="E29" s="592"/>
      <c r="F29" s="592"/>
      <c r="G29" s="592"/>
      <c r="H29" s="592"/>
      <c r="I29" s="592"/>
      <c r="J29" s="592"/>
      <c r="K29" s="247">
        <f>IF(Budget!J48&gt;0,Budget!J48,0)</f>
        <v>0</v>
      </c>
    </row>
    <row r="30" spans="1:11" s="217" customFormat="1" ht="15" x14ac:dyDescent="0.25">
      <c r="A30" s="592" t="str">
        <f>IF(ISBLANK(Budget!J49),"",Budget!A49)</f>
        <v/>
      </c>
      <c r="B30" s="592"/>
      <c r="C30" s="592"/>
      <c r="D30" s="592"/>
      <c r="E30" s="592"/>
      <c r="F30" s="592"/>
      <c r="G30" s="592"/>
      <c r="H30" s="592"/>
      <c r="I30" s="592"/>
      <c r="J30" s="592"/>
      <c r="K30" s="247">
        <f>IF(Budget!J49&gt;0,Budget!J49,0)</f>
        <v>0</v>
      </c>
    </row>
    <row r="31" spans="1:11" s="217" customFormat="1" ht="15" x14ac:dyDescent="0.25">
      <c r="A31" s="592" t="str">
        <f>IF(ISBLANK(Budget!J50),"",Budget!A50)</f>
        <v/>
      </c>
      <c r="B31" s="592"/>
      <c r="C31" s="592"/>
      <c r="D31" s="592"/>
      <c r="E31" s="592"/>
      <c r="F31" s="592"/>
      <c r="G31" s="592"/>
      <c r="H31" s="592"/>
      <c r="I31" s="592"/>
      <c r="J31" s="592"/>
      <c r="K31" s="247">
        <f>IF(Budget!J50&gt;0,Budget!J50,0)</f>
        <v>0</v>
      </c>
    </row>
    <row r="32" spans="1:11" s="217" customFormat="1" thickBot="1" x14ac:dyDescent="0.3">
      <c r="A32" s="592" t="str">
        <f>IF(ISBLANK(Budget!J51),"",Budget!A51)</f>
        <v/>
      </c>
      <c r="B32" s="592"/>
      <c r="C32" s="592"/>
      <c r="D32" s="592"/>
      <c r="E32" s="592"/>
      <c r="F32" s="592"/>
      <c r="G32" s="592"/>
      <c r="H32" s="592"/>
      <c r="I32" s="592"/>
      <c r="J32" s="592"/>
      <c r="K32" s="247">
        <f>IF(Budget!J51&gt;0,Budget!J51,0)</f>
        <v>0</v>
      </c>
    </row>
    <row r="33" spans="1:12" s="217" customFormat="1" thickBot="1" x14ac:dyDescent="0.3">
      <c r="J33" s="225" t="s">
        <v>58</v>
      </c>
      <c r="K33" s="235">
        <f>TotalEquipment3</f>
        <v>0</v>
      </c>
    </row>
    <row r="34" spans="1:12" s="217" customFormat="1" ht="15" x14ac:dyDescent="0.25">
      <c r="J34" s="226"/>
      <c r="K34" s="227"/>
    </row>
    <row r="35" spans="1:12" x14ac:dyDescent="0.25">
      <c r="A35" s="228" t="s">
        <v>299</v>
      </c>
      <c r="B35" s="228"/>
      <c r="C35" s="228"/>
      <c r="D35" s="228"/>
      <c r="E35" s="228"/>
      <c r="F35" s="228"/>
      <c r="G35" s="228"/>
      <c r="H35" s="228"/>
      <c r="I35" s="228"/>
      <c r="J35" s="229"/>
      <c r="K35" s="249" t="s">
        <v>346</v>
      </c>
      <c r="L35" s="221"/>
    </row>
    <row r="36" spans="1:12" s="217" customFormat="1" ht="15" x14ac:dyDescent="0.25">
      <c r="A36" s="594" t="s">
        <v>351</v>
      </c>
      <c r="B36" s="595"/>
      <c r="C36" s="595"/>
      <c r="D36" s="595"/>
      <c r="E36" s="595"/>
      <c r="F36" s="595"/>
      <c r="G36" s="595"/>
      <c r="H36" s="595"/>
      <c r="I36" s="595"/>
      <c r="J36" s="596"/>
      <c r="K36" s="238">
        <f>Budget!J39</f>
        <v>0</v>
      </c>
    </row>
    <row r="37" spans="1:12" s="217" customFormat="1" thickBot="1" x14ac:dyDescent="0.3">
      <c r="A37" s="594" t="s">
        <v>352</v>
      </c>
      <c r="B37" s="595"/>
      <c r="C37" s="595"/>
      <c r="D37" s="595"/>
      <c r="E37" s="595"/>
      <c r="F37" s="595"/>
      <c r="G37" s="595"/>
      <c r="H37" s="595"/>
      <c r="I37" s="595"/>
      <c r="J37" s="596"/>
      <c r="K37" s="238">
        <f>Budget!J44</f>
        <v>0</v>
      </c>
    </row>
    <row r="38" spans="1:12" s="217" customFormat="1" thickBot="1" x14ac:dyDescent="0.3">
      <c r="C38" s="597"/>
      <c r="D38" s="597"/>
      <c r="J38" s="248" t="s">
        <v>353</v>
      </c>
      <c r="K38" s="235">
        <f>SUM(K36:K37)</f>
        <v>0</v>
      </c>
    </row>
    <row r="39" spans="1:12" s="217" customFormat="1" ht="15" x14ac:dyDescent="0.25">
      <c r="K39" s="252"/>
    </row>
    <row r="40" spans="1:12" x14ac:dyDescent="0.25">
      <c r="A40" s="228" t="s">
        <v>300</v>
      </c>
      <c r="B40" s="228"/>
      <c r="C40" s="228"/>
      <c r="D40" s="228"/>
      <c r="E40" s="228"/>
      <c r="F40" s="228"/>
      <c r="G40" s="228"/>
      <c r="H40" s="228"/>
      <c r="I40" s="228"/>
      <c r="J40" s="229"/>
      <c r="K40" s="249" t="s">
        <v>346</v>
      </c>
      <c r="L40" s="221"/>
    </row>
    <row r="41" spans="1:12" s="217" customFormat="1" ht="15" x14ac:dyDescent="0.25">
      <c r="A41" s="592" t="s">
        <v>315</v>
      </c>
      <c r="B41" s="592"/>
      <c r="C41" s="592"/>
      <c r="D41" s="592"/>
      <c r="E41" s="592"/>
      <c r="F41" s="592"/>
      <c r="G41" s="592"/>
      <c r="H41" s="592"/>
      <c r="I41" s="592"/>
      <c r="J41" s="592"/>
      <c r="K41" s="247">
        <f>SUMIF(Budget!$A$2:$A$504,"PS Tuition/Fees/Health Insurance",Budget!$J$2:$J$504)</f>
        <v>0</v>
      </c>
    </row>
    <row r="42" spans="1:12" s="217" customFormat="1" ht="15" x14ac:dyDescent="0.25">
      <c r="A42" s="592" t="s">
        <v>316</v>
      </c>
      <c r="B42" s="592"/>
      <c r="C42" s="592"/>
      <c r="D42" s="592"/>
      <c r="E42" s="592"/>
      <c r="F42" s="592"/>
      <c r="G42" s="592"/>
      <c r="H42" s="592"/>
      <c r="I42" s="592"/>
      <c r="J42" s="592"/>
      <c r="K42" s="247">
        <f>SUMIF(Budget!$A$2:$A$504,"PS Stipends",Budget!$J$2:$J$504)</f>
        <v>0</v>
      </c>
    </row>
    <row r="43" spans="1:12" s="217" customFormat="1" ht="15" x14ac:dyDescent="0.25">
      <c r="A43" s="592" t="s">
        <v>317</v>
      </c>
      <c r="B43" s="592"/>
      <c r="C43" s="592"/>
      <c r="D43" s="592"/>
      <c r="E43" s="592"/>
      <c r="F43" s="592"/>
      <c r="G43" s="592"/>
      <c r="H43" s="592"/>
      <c r="I43" s="592"/>
      <c r="J43" s="592"/>
      <c r="K43" s="247">
        <f>SUMIF(Budget!$A$2:$A$504,"PS Travel",Budget!$J$2:$J$504)</f>
        <v>0</v>
      </c>
    </row>
    <row r="44" spans="1:12" s="217" customFormat="1" ht="15" x14ac:dyDescent="0.25">
      <c r="A44" s="592" t="s">
        <v>318</v>
      </c>
      <c r="B44" s="592"/>
      <c r="C44" s="592"/>
      <c r="D44" s="592"/>
      <c r="E44" s="592"/>
      <c r="F44" s="592"/>
      <c r="G44" s="592"/>
      <c r="H44" s="592"/>
      <c r="I44" s="592"/>
      <c r="J44" s="592"/>
      <c r="K44" s="247">
        <f>SUMIF(Budget!$A$2:$A$504,"PS Subsistence",Budget!$J$2:$J$504)</f>
        <v>0</v>
      </c>
    </row>
    <row r="45" spans="1:12" s="217" customFormat="1" thickBot="1" x14ac:dyDescent="0.3">
      <c r="A45" s="592" t="s">
        <v>319</v>
      </c>
      <c r="B45" s="599"/>
      <c r="C45" s="592"/>
      <c r="D45" s="592"/>
      <c r="E45" s="592"/>
      <c r="F45" s="592"/>
      <c r="G45" s="592"/>
      <c r="H45" s="592"/>
      <c r="I45" s="592"/>
      <c r="J45" s="592"/>
      <c r="K45" s="236">
        <f>SUMIF(Budget!$A$2:$A$504,"PS Other",Budget!$J$2:$J$504)</f>
        <v>0</v>
      </c>
    </row>
    <row r="46" spans="1:12" s="217" customFormat="1" thickBot="1" x14ac:dyDescent="0.3">
      <c r="A46" s="231" t="s">
        <v>354</v>
      </c>
      <c r="B46" s="244"/>
      <c r="C46" s="220"/>
      <c r="D46" s="220"/>
      <c r="H46" s="600" t="s">
        <v>355</v>
      </c>
      <c r="I46" s="600"/>
      <c r="J46" s="583"/>
      <c r="K46" s="235">
        <f>SUM(K41:K45)</f>
        <v>0</v>
      </c>
    </row>
    <row r="47" spans="1:12" s="217" customFormat="1" ht="15" customHeight="1" x14ac:dyDescent="0.25">
      <c r="C47" s="597"/>
      <c r="D47" s="597"/>
      <c r="K47" s="221"/>
    </row>
    <row r="48" spans="1:12" x14ac:dyDescent="0.25">
      <c r="A48" s="126" t="s">
        <v>301</v>
      </c>
      <c r="K48" s="230" t="s">
        <v>346</v>
      </c>
    </row>
    <row r="49" spans="1:12" s="217" customFormat="1" ht="15" x14ac:dyDescent="0.25">
      <c r="A49" s="601" t="s">
        <v>120</v>
      </c>
      <c r="B49" s="601"/>
      <c r="C49" s="601"/>
      <c r="D49" s="601"/>
      <c r="E49" s="601"/>
      <c r="F49" s="601"/>
      <c r="G49" s="601"/>
      <c r="H49" s="601"/>
      <c r="I49" s="601"/>
      <c r="J49" s="601"/>
      <c r="K49" s="247">
        <f>SUMIF(Budget!$A$2:$A$504,"Materials &amp; Supplies",Budget!$J$2:$J$504)</f>
        <v>0</v>
      </c>
    </row>
    <row r="50" spans="1:12" s="217" customFormat="1" ht="15" x14ac:dyDescent="0.25">
      <c r="A50" s="601" t="s">
        <v>322</v>
      </c>
      <c r="B50" s="601"/>
      <c r="C50" s="601"/>
      <c r="D50" s="601"/>
      <c r="E50" s="601"/>
      <c r="F50" s="601"/>
      <c r="G50" s="601"/>
      <c r="H50" s="601"/>
      <c r="I50" s="601"/>
      <c r="J50" s="601"/>
      <c r="K50" s="247">
        <f>SUMIF(Budget!$A$2:$A$504,"Publication Costs/Page Charges",Budget!$J$2:$J$504)</f>
        <v>0</v>
      </c>
    </row>
    <row r="51" spans="1:12" s="217" customFormat="1" ht="15" x14ac:dyDescent="0.25">
      <c r="A51" s="601" t="s">
        <v>122</v>
      </c>
      <c r="B51" s="601"/>
      <c r="C51" s="601"/>
      <c r="D51" s="601"/>
      <c r="E51" s="601"/>
      <c r="F51" s="601"/>
      <c r="G51" s="601"/>
      <c r="H51" s="601"/>
      <c r="I51" s="601"/>
      <c r="J51" s="601"/>
      <c r="K51" s="247">
        <f>SUMIF(Budget!$A$2:$A$504,"Consultant Services",Budget!$J$2:$J$504)</f>
        <v>0</v>
      </c>
    </row>
    <row r="52" spans="1:12" s="217" customFormat="1" ht="15" x14ac:dyDescent="0.25">
      <c r="A52" s="601" t="s">
        <v>323</v>
      </c>
      <c r="B52" s="601"/>
      <c r="C52" s="601"/>
      <c r="D52" s="601"/>
      <c r="E52" s="601"/>
      <c r="F52" s="601"/>
      <c r="G52" s="601"/>
      <c r="H52" s="601"/>
      <c r="I52" s="601"/>
      <c r="J52" s="601"/>
      <c r="K52" s="247">
        <f>SUMIF(Budget!$A$2:$A$504,"Computer (ADPE) Services",Budget!$J$2:$J$504)</f>
        <v>0</v>
      </c>
    </row>
    <row r="53" spans="1:12" s="217" customFormat="1" ht="15" x14ac:dyDescent="0.25">
      <c r="A53" s="601" t="s">
        <v>360</v>
      </c>
      <c r="B53" s="601"/>
      <c r="C53" s="601"/>
      <c r="D53" s="601"/>
      <c r="E53" s="601"/>
      <c r="F53" s="601"/>
      <c r="G53" s="601"/>
      <c r="H53" s="601"/>
      <c r="I53" s="601"/>
      <c r="J53" s="601"/>
      <c r="K53" s="247">
        <f ca="1">TotalSubs3+TotalMulti3+SUMIF(Budget!$A$2:$A$504,"Vendor Contract",Budget!$J$2:$J$504)+SUMIF(Budget!$A$2:$A$504,"Service Agreement",Budget!$J$2:$J$504)</f>
        <v>0</v>
      </c>
    </row>
    <row r="54" spans="1:12" s="217" customFormat="1" x14ac:dyDescent="0.25">
      <c r="A54" s="601" t="s">
        <v>325</v>
      </c>
      <c r="B54" s="601"/>
      <c r="C54" s="601"/>
      <c r="D54" s="601"/>
      <c r="E54" s="601"/>
      <c r="F54" s="601"/>
      <c r="G54" s="601"/>
      <c r="H54" s="601"/>
      <c r="I54" s="601"/>
      <c r="J54" s="601"/>
      <c r="K54" s="242">
        <f>SUMIF(Budget!$A$2:$A$504,"Other Rentals",Budget!$J$2:$J$504)+SUMIF(Budget!$A$2:$A$504,"Space Rentals",Budget!$J$2:$J$504)+SUMIF(Budget!$A$2:$A$504,"Equipment or Facility Rental/User Fees",Budget!$J$2:$J$504)</f>
        <v>0</v>
      </c>
    </row>
    <row r="55" spans="1:12" s="217" customFormat="1" ht="15" x14ac:dyDescent="0.25">
      <c r="A55" s="601" t="s">
        <v>326</v>
      </c>
      <c r="B55" s="601"/>
      <c r="C55" s="601"/>
      <c r="D55" s="601"/>
      <c r="E55" s="601"/>
      <c r="F55" s="601"/>
      <c r="G55" s="601"/>
      <c r="H55" s="601"/>
      <c r="I55" s="601"/>
      <c r="J55" s="601"/>
      <c r="K55" s="247">
        <f>SUMIF(Budget!$A$2:$A$504,"Alterations and Renovations",Budget!$J$2:$J$504)</f>
        <v>0</v>
      </c>
    </row>
    <row r="56" spans="1:12" s="217" customFormat="1" ht="15" x14ac:dyDescent="0.25">
      <c r="A56" s="598" t="s">
        <v>379</v>
      </c>
      <c r="B56" s="598"/>
      <c r="C56" s="598"/>
      <c r="D56" s="598"/>
      <c r="E56" s="598"/>
      <c r="F56" s="598"/>
      <c r="G56" s="598"/>
      <c r="H56" s="598"/>
      <c r="I56" s="598"/>
      <c r="J56" s="598"/>
      <c r="K56" s="247">
        <f>TotalGSR3</f>
        <v>0</v>
      </c>
    </row>
    <row r="57" spans="1:12" s="217" customFormat="1" ht="15" x14ac:dyDescent="0.25">
      <c r="A57" s="598" t="s">
        <v>380</v>
      </c>
      <c r="B57" s="598"/>
      <c r="C57" s="598"/>
      <c r="D57" s="598"/>
      <c r="E57" s="598"/>
      <c r="F57" s="598"/>
      <c r="G57" s="598"/>
      <c r="H57" s="598"/>
      <c r="I57" s="598"/>
      <c r="J57" s="598"/>
      <c r="K57" s="247">
        <f>SUMIF(Budget!$A$2:$A$504,"Other",Budget!$J$2:$J$504)+SUMIF(Budget!$A$2:$A$504,"Other Maintenance Fees",Budget!$J$2:$J$504)</f>
        <v>0</v>
      </c>
    </row>
    <row r="58" spans="1:12" s="217" customFormat="1" thickBot="1" x14ac:dyDescent="0.3">
      <c r="A58" s="602" t="s">
        <v>383</v>
      </c>
      <c r="B58" s="602"/>
      <c r="C58" s="602"/>
      <c r="D58" s="602"/>
      <c r="E58" s="602"/>
      <c r="F58" s="602"/>
      <c r="G58" s="602"/>
      <c r="H58" s="602"/>
      <c r="I58" s="602"/>
      <c r="J58" s="602"/>
      <c r="K58" s="236">
        <v>0</v>
      </c>
    </row>
    <row r="59" spans="1:12" s="217" customFormat="1" ht="15" customHeight="1" thickBot="1" x14ac:dyDescent="0.3">
      <c r="I59" s="600" t="s">
        <v>21</v>
      </c>
      <c r="J59" s="583"/>
      <c r="K59" s="235">
        <f ca="1">SUM(K49:K58)</f>
        <v>0</v>
      </c>
    </row>
    <row r="60" spans="1:12" s="217" customFormat="1" ht="15" x14ac:dyDescent="0.25">
      <c r="K60" s="252"/>
    </row>
    <row r="61" spans="1:12" ht="16.5" thickBot="1" x14ac:dyDescent="0.3">
      <c r="A61" s="126" t="s">
        <v>302</v>
      </c>
      <c r="K61" s="230" t="s">
        <v>346</v>
      </c>
      <c r="L61" s="221"/>
    </row>
    <row r="62" spans="1:12" s="217" customFormat="1" ht="15" customHeight="1" thickBot="1" x14ac:dyDescent="0.3">
      <c r="A62" s="583" t="s">
        <v>359</v>
      </c>
      <c r="B62" s="584"/>
      <c r="C62" s="584"/>
      <c r="D62" s="584"/>
      <c r="E62" s="584"/>
      <c r="F62" s="584"/>
      <c r="G62" s="584"/>
      <c r="H62" s="584"/>
      <c r="I62" s="584"/>
      <c r="J62" s="584"/>
      <c r="K62" s="235">
        <f ca="1">K25+K33+K38+K46+K59</f>
        <v>0</v>
      </c>
    </row>
    <row r="63" spans="1:12" s="217" customFormat="1" ht="15" x14ac:dyDescent="0.25">
      <c r="K63" s="252"/>
    </row>
    <row r="64" spans="1:12" x14ac:dyDescent="0.25">
      <c r="A64" s="126" t="s">
        <v>303</v>
      </c>
    </row>
    <row r="65" spans="1:11" s="217" customFormat="1" ht="15" x14ac:dyDescent="0.25">
      <c r="A65" s="587" t="s">
        <v>357</v>
      </c>
      <c r="B65" s="587"/>
      <c r="C65" s="587"/>
      <c r="D65" s="587"/>
      <c r="E65" s="587"/>
      <c r="F65" s="587" t="s">
        <v>358</v>
      </c>
      <c r="G65" s="587"/>
      <c r="H65" s="587"/>
      <c r="I65" s="587"/>
      <c r="J65" s="587"/>
      <c r="K65" s="249" t="s">
        <v>346</v>
      </c>
    </row>
    <row r="66" spans="1:11" s="217" customFormat="1" ht="15" x14ac:dyDescent="0.25">
      <c r="A66" s="603" t="str">
        <f>Budget!J105</f>
        <v xml:space="preserve"> </v>
      </c>
      <c r="B66" s="603"/>
      <c r="C66" s="603"/>
      <c r="D66" s="603"/>
      <c r="E66" s="603"/>
      <c r="F66" s="588">
        <f ca="1">Budget!J101</f>
        <v>0</v>
      </c>
      <c r="G66" s="588"/>
      <c r="H66" s="588"/>
      <c r="I66" s="588"/>
      <c r="J66" s="588"/>
      <c r="K66" s="247" t="e">
        <f ca="1">ROUND((A66*F66),0)</f>
        <v>#VALUE!</v>
      </c>
    </row>
    <row r="67" spans="1:11" s="217" customFormat="1" ht="15" x14ac:dyDescent="0.25">
      <c r="A67" s="577"/>
      <c r="B67" s="577"/>
      <c r="C67" s="577"/>
      <c r="D67" s="577"/>
      <c r="E67" s="577"/>
      <c r="F67" s="578"/>
      <c r="G67" s="578"/>
      <c r="H67" s="578"/>
      <c r="I67" s="578"/>
      <c r="J67" s="578"/>
      <c r="K67" s="253">
        <f t="shared" ref="K67:K68" si="6">ROUND((A67*F67),0)</f>
        <v>0</v>
      </c>
    </row>
    <row r="68" spans="1:11" s="217" customFormat="1" ht="15" x14ac:dyDescent="0.25">
      <c r="A68" s="577"/>
      <c r="B68" s="577"/>
      <c r="C68" s="577"/>
      <c r="D68" s="577"/>
      <c r="E68" s="577"/>
      <c r="F68" s="578"/>
      <c r="G68" s="578"/>
      <c r="H68" s="578"/>
      <c r="I68" s="578"/>
      <c r="J68" s="578"/>
      <c r="K68" s="253">
        <f t="shared" si="6"/>
        <v>0</v>
      </c>
    </row>
    <row r="69" spans="1:11" s="217" customFormat="1" thickBot="1" x14ac:dyDescent="0.3">
      <c r="A69" s="577"/>
      <c r="B69" s="577"/>
      <c r="C69" s="577"/>
      <c r="D69" s="577"/>
      <c r="E69" s="577"/>
      <c r="F69" s="578"/>
      <c r="G69" s="578"/>
      <c r="H69" s="578"/>
      <c r="I69" s="578"/>
      <c r="J69" s="578"/>
      <c r="K69" s="253">
        <f>ROUND((A69*F69),0)</f>
        <v>0</v>
      </c>
    </row>
    <row r="70" spans="1:11" s="217" customFormat="1" thickBot="1" x14ac:dyDescent="0.3">
      <c r="I70" s="583" t="s">
        <v>27</v>
      </c>
      <c r="J70" s="584"/>
      <c r="K70" s="235" t="e">
        <f ca="1">SUM(K66:K69)</f>
        <v>#VALUE!</v>
      </c>
    </row>
    <row r="71" spans="1:11" s="217" customFormat="1" ht="15" x14ac:dyDescent="0.25">
      <c r="K71" s="252"/>
    </row>
    <row r="72" spans="1:11" ht="16.5" thickBot="1" x14ac:dyDescent="0.3">
      <c r="A72" s="126" t="s">
        <v>304</v>
      </c>
      <c r="K72" s="232" t="s">
        <v>346</v>
      </c>
    </row>
    <row r="73" spans="1:11" s="217" customFormat="1" thickBot="1" x14ac:dyDescent="0.3">
      <c r="A73" s="583" t="s">
        <v>356</v>
      </c>
      <c r="B73" s="584"/>
      <c r="C73" s="584"/>
      <c r="D73" s="584"/>
      <c r="E73" s="584"/>
      <c r="F73" s="584"/>
      <c r="G73" s="584"/>
      <c r="H73" s="584"/>
      <c r="I73" s="584"/>
      <c r="J73" s="584"/>
      <c r="K73" s="235" t="e">
        <f ca="1">K62+K70</f>
        <v>#VALUE!</v>
      </c>
    </row>
    <row r="74" spans="1:11" s="217" customFormat="1" ht="15" x14ac:dyDescent="0.25">
      <c r="K74" s="252"/>
    </row>
    <row r="75" spans="1:11" ht="16.5" thickBot="1" x14ac:dyDescent="0.3">
      <c r="A75" s="126" t="s">
        <v>305</v>
      </c>
      <c r="K75" s="230" t="s">
        <v>346</v>
      </c>
    </row>
    <row r="76" spans="1:11" s="217" customFormat="1" thickBot="1" x14ac:dyDescent="0.3">
      <c r="A76" s="604"/>
      <c r="B76" s="605"/>
      <c r="C76" s="605"/>
      <c r="D76" s="605"/>
      <c r="E76" s="605"/>
      <c r="F76" s="605"/>
      <c r="G76" s="605"/>
      <c r="H76" s="605"/>
      <c r="I76" s="605"/>
      <c r="J76" s="605"/>
      <c r="K76" s="245"/>
    </row>
    <row r="78" spans="1:11" ht="16.5" thickBot="1" x14ac:dyDescent="0.3"/>
    <row r="79" spans="1:11" x14ac:dyDescent="0.25">
      <c r="A79" s="254" t="s">
        <v>364</v>
      </c>
      <c r="B79" s="255"/>
      <c r="C79" s="255"/>
      <c r="D79" s="255"/>
      <c r="E79" s="255"/>
      <c r="F79" s="255"/>
      <c r="G79" s="255"/>
      <c r="H79" s="255"/>
      <c r="I79" s="255"/>
      <c r="J79" s="255"/>
      <c r="K79" s="256"/>
    </row>
    <row r="80" spans="1:11" x14ac:dyDescent="0.25">
      <c r="A80" s="257" t="s">
        <v>369</v>
      </c>
      <c r="B80" s="258"/>
      <c r="C80" s="258"/>
      <c r="D80" s="258"/>
      <c r="E80" s="258"/>
      <c r="F80" s="258"/>
      <c r="G80" s="258"/>
      <c r="H80" s="258"/>
      <c r="I80" s="258"/>
      <c r="J80" s="258"/>
      <c r="K80" s="259"/>
    </row>
    <row r="81" spans="1:11" x14ac:dyDescent="0.25">
      <c r="A81" s="257" t="s">
        <v>368</v>
      </c>
      <c r="B81" s="258"/>
      <c r="C81" s="258"/>
      <c r="D81" s="258"/>
      <c r="E81" s="258"/>
      <c r="F81" s="258"/>
      <c r="G81" s="258"/>
      <c r="H81" s="258"/>
      <c r="I81" s="258"/>
      <c r="J81" s="258"/>
      <c r="K81" s="259"/>
    </row>
    <row r="82" spans="1:11" x14ac:dyDescent="0.25">
      <c r="A82" s="257" t="s">
        <v>385</v>
      </c>
      <c r="B82" s="258"/>
      <c r="C82" s="258"/>
      <c r="D82" s="258"/>
      <c r="E82" s="258"/>
      <c r="F82" s="258"/>
      <c r="G82" s="258"/>
      <c r="H82" s="258"/>
      <c r="I82" s="258"/>
      <c r="J82" s="258"/>
      <c r="K82" s="259"/>
    </row>
    <row r="83" spans="1:11" ht="16.5" thickBot="1" x14ac:dyDescent="0.3">
      <c r="A83" s="260" t="s">
        <v>378</v>
      </c>
      <c r="B83" s="261"/>
      <c r="C83" s="261"/>
      <c r="D83" s="261"/>
      <c r="E83" s="261"/>
      <c r="F83" s="261"/>
      <c r="G83" s="261"/>
      <c r="H83" s="261"/>
      <c r="I83" s="261"/>
      <c r="J83" s="261"/>
      <c r="K83" s="262"/>
    </row>
  </sheetData>
  <sheetProtection algorithmName="SHA-512" hashValue="lIqDq4HGPk9ylztpBA7RB3p0pYOf5/rCtrjKCEr9EaK7lYUtlln+pDxAFHLauW/yWcE9XyjRUgn81sJRAPWXJg==" saltValue="M6sIkHz+La7I+S5NW0wkUQ==" spinCount="100000" sheet="1" objects="1" scenarios="1" selectLockedCells="1"/>
  <mergeCells count="79">
    <mergeCell ref="A69:E69"/>
    <mergeCell ref="F69:J69"/>
    <mergeCell ref="I70:J70"/>
    <mergeCell ref="A73:J73"/>
    <mergeCell ref="A76:J76"/>
    <mergeCell ref="A66:E66"/>
    <mergeCell ref="F66:J66"/>
    <mergeCell ref="A67:E67"/>
    <mergeCell ref="F67:J67"/>
    <mergeCell ref="A68:E68"/>
    <mergeCell ref="F68:J68"/>
    <mergeCell ref="A57:J57"/>
    <mergeCell ref="A58:J58"/>
    <mergeCell ref="I59:J59"/>
    <mergeCell ref="A62:J62"/>
    <mergeCell ref="A65:E65"/>
    <mergeCell ref="F65:J65"/>
    <mergeCell ref="A56:J56"/>
    <mergeCell ref="A44:J44"/>
    <mergeCell ref="A45:J45"/>
    <mergeCell ref="H46:J46"/>
    <mergeCell ref="C47:D47"/>
    <mergeCell ref="A49:J49"/>
    <mergeCell ref="A50:J50"/>
    <mergeCell ref="A51:J51"/>
    <mergeCell ref="A52:J52"/>
    <mergeCell ref="A53:J53"/>
    <mergeCell ref="A54:J54"/>
    <mergeCell ref="A55:J55"/>
    <mergeCell ref="A43:J43"/>
    <mergeCell ref="A27:J27"/>
    <mergeCell ref="A28:J28"/>
    <mergeCell ref="A29:J29"/>
    <mergeCell ref="A30:J30"/>
    <mergeCell ref="A31:J31"/>
    <mergeCell ref="A32:J32"/>
    <mergeCell ref="A36:J36"/>
    <mergeCell ref="A37:J37"/>
    <mergeCell ref="C38:D38"/>
    <mergeCell ref="A41:J41"/>
    <mergeCell ref="A42:J42"/>
    <mergeCell ref="H25:J25"/>
    <mergeCell ref="B21:C21"/>
    <mergeCell ref="G21:H21"/>
    <mergeCell ref="I21:J21"/>
    <mergeCell ref="B22:C22"/>
    <mergeCell ref="G22:H22"/>
    <mergeCell ref="I22:J22"/>
    <mergeCell ref="B23:C23"/>
    <mergeCell ref="G23:H23"/>
    <mergeCell ref="I23:J23"/>
    <mergeCell ref="B24:D24"/>
    <mergeCell ref="H24:J24"/>
    <mergeCell ref="B19:C19"/>
    <mergeCell ref="G19:H19"/>
    <mergeCell ref="I19:J19"/>
    <mergeCell ref="B20:C20"/>
    <mergeCell ref="G20:H20"/>
    <mergeCell ref="I20:J20"/>
    <mergeCell ref="B17:C17"/>
    <mergeCell ref="G17:H17"/>
    <mergeCell ref="I17:J17"/>
    <mergeCell ref="B18:C18"/>
    <mergeCell ref="G18:H18"/>
    <mergeCell ref="I18:J18"/>
    <mergeCell ref="B15:C15"/>
    <mergeCell ref="G15:H15"/>
    <mergeCell ref="I15:J15"/>
    <mergeCell ref="B16:C16"/>
    <mergeCell ref="G16:H16"/>
    <mergeCell ref="I16:J16"/>
    <mergeCell ref="B14:C14"/>
    <mergeCell ref="G14:H14"/>
    <mergeCell ref="I14:J14"/>
    <mergeCell ref="F10:H10"/>
    <mergeCell ref="I11:J11"/>
    <mergeCell ref="B13:C13"/>
    <mergeCell ref="G13:H13"/>
    <mergeCell ref="I13:J13"/>
  </mergeCells>
  <pageMargins left="0.75" right="0.75" top="1" bottom="1" header="0.5" footer="0.5"/>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O49"/>
  <sheetViews>
    <sheetView workbookViewId="0">
      <selection activeCell="P11" sqref="P11"/>
    </sheetView>
  </sheetViews>
  <sheetFormatPr defaultColWidth="11" defaultRowHeight="15.75" x14ac:dyDescent="0.25"/>
  <cols>
    <col min="1" max="1" width="5.5" customWidth="1"/>
    <col min="2" max="4" width="10.875" customWidth="1"/>
    <col min="5" max="5" width="5.5" bestFit="1" customWidth="1"/>
    <col min="6" max="8" width="10.875" customWidth="1"/>
    <col min="9" max="9" width="5.5" bestFit="1" customWidth="1"/>
    <col min="10" max="10" width="25.875" customWidth="1"/>
    <col min="12" max="12" width="13.375" bestFit="1" customWidth="1"/>
    <col min="13" max="13" width="16.125" bestFit="1" customWidth="1"/>
    <col min="14" max="14" width="7.5" customWidth="1"/>
    <col min="15" max="15" width="14" bestFit="1" customWidth="1"/>
  </cols>
  <sheetData>
    <row r="1" spans="1:15" ht="48" thickBot="1" x14ac:dyDescent="0.3">
      <c r="A1" s="335" t="s">
        <v>211</v>
      </c>
      <c r="B1" s="336"/>
      <c r="C1" s="336"/>
      <c r="D1" s="336"/>
      <c r="E1" s="336"/>
      <c r="F1" s="336"/>
      <c r="G1" s="336"/>
      <c r="H1" s="336"/>
      <c r="I1" s="336"/>
      <c r="J1" s="337"/>
      <c r="K1" s="51"/>
      <c r="L1" s="27" t="s">
        <v>180</v>
      </c>
      <c r="M1" s="28" t="s">
        <v>181</v>
      </c>
      <c r="N1" s="28" t="s">
        <v>182</v>
      </c>
      <c r="O1" s="28" t="s">
        <v>183</v>
      </c>
    </row>
    <row r="2" spans="1:15" ht="16.5" thickBot="1" x14ac:dyDescent="0.3">
      <c r="A2" s="345" t="s">
        <v>208</v>
      </c>
      <c r="B2" s="346"/>
      <c r="C2" s="346"/>
      <c r="D2" s="346"/>
      <c r="E2" s="345" t="s">
        <v>209</v>
      </c>
      <c r="F2" s="346"/>
      <c r="G2" s="346"/>
      <c r="H2" s="347"/>
      <c r="I2" s="346" t="s">
        <v>212</v>
      </c>
      <c r="J2" s="347"/>
      <c r="L2" s="29" t="s">
        <v>241</v>
      </c>
      <c r="M2" s="125" t="s">
        <v>184</v>
      </c>
      <c r="N2" s="30">
        <v>8</v>
      </c>
      <c r="O2" s="31" t="s">
        <v>437</v>
      </c>
    </row>
    <row r="3" spans="1:15" ht="30" customHeight="1" x14ac:dyDescent="0.25">
      <c r="A3" s="341" t="s">
        <v>13</v>
      </c>
      <c r="B3" s="338" t="s">
        <v>425</v>
      </c>
      <c r="C3" s="339"/>
      <c r="D3" s="340"/>
      <c r="E3" s="341" t="s">
        <v>13</v>
      </c>
      <c r="F3" s="338" t="s">
        <v>425</v>
      </c>
      <c r="G3" s="339"/>
      <c r="H3" s="340"/>
      <c r="I3" s="341" t="s">
        <v>13</v>
      </c>
      <c r="J3" s="343" t="s">
        <v>409</v>
      </c>
      <c r="L3" s="29" t="s">
        <v>241</v>
      </c>
      <c r="M3" s="125" t="s">
        <v>186</v>
      </c>
      <c r="N3" s="30">
        <v>8</v>
      </c>
      <c r="O3" s="30">
        <v>8</v>
      </c>
    </row>
    <row r="4" spans="1:15" x14ac:dyDescent="0.25">
      <c r="A4" s="342"/>
      <c r="B4" s="49" t="s">
        <v>175</v>
      </c>
      <c r="C4" s="49" t="s">
        <v>176</v>
      </c>
      <c r="D4" s="107" t="s">
        <v>210</v>
      </c>
      <c r="E4" s="342"/>
      <c r="F4" s="49" t="s">
        <v>175</v>
      </c>
      <c r="G4" s="49" t="s">
        <v>176</v>
      </c>
      <c r="H4" s="107" t="s">
        <v>210</v>
      </c>
      <c r="I4" s="342"/>
      <c r="J4" s="344"/>
      <c r="L4" s="29" t="s">
        <v>241</v>
      </c>
      <c r="M4" s="125" t="s">
        <v>187</v>
      </c>
      <c r="N4" s="30">
        <v>7</v>
      </c>
      <c r="O4" s="30">
        <v>8</v>
      </c>
    </row>
    <row r="5" spans="1:15" x14ac:dyDescent="0.25">
      <c r="A5" s="53">
        <v>1</v>
      </c>
      <c r="B5" s="103">
        <f>'Salary Tables'!$C$10*9*0.5*1.025+('Salary Tables'!$B$43+'Salary Tables'!$B$45+'Salary Tables'!$B$46)*9</f>
        <v>35759.652749999994</v>
      </c>
      <c r="C5" s="103">
        <f>'Salary Tables'!C10*3*1.03</f>
        <v>11332.822200000001</v>
      </c>
      <c r="D5" s="108">
        <f>B5+C5</f>
        <v>47092.474949999996</v>
      </c>
      <c r="E5" s="52">
        <v>1</v>
      </c>
      <c r="F5" s="103">
        <f>'Salary Tables'!$C$10*9*0.5*1.025+('Salary Tables'!$B$44+'Salary Tables'!$B$45+'Salary Tables'!$B$46)*9</f>
        <v>50861.652750000001</v>
      </c>
      <c r="G5" s="105">
        <f>'Salary Tables'!C10*3*1.03</f>
        <v>11332.822200000001</v>
      </c>
      <c r="H5" s="108">
        <f>F5+G5</f>
        <v>62194.474950000003</v>
      </c>
      <c r="I5" s="54">
        <v>0</v>
      </c>
      <c r="J5" s="110">
        <f>'Salary Tables'!B19*12*(1+'Salary Tables'!AA19)</f>
        <v>65089.439999999995</v>
      </c>
      <c r="L5" s="29" t="s">
        <v>241</v>
      </c>
      <c r="M5" s="125" t="s">
        <v>188</v>
      </c>
      <c r="N5" s="30">
        <v>8</v>
      </c>
      <c r="O5" s="30">
        <v>8</v>
      </c>
    </row>
    <row r="6" spans="1:15" x14ac:dyDescent="0.25">
      <c r="A6" s="53">
        <v>2</v>
      </c>
      <c r="B6" s="103">
        <f>'Salary Tables'!$D$10*9*0.5*1.025+('Salary Tables'!$B$43+'Salary Tables'!$B$45+'Salary Tables'!$B$46)*9</f>
        <v>37075.783499999998</v>
      </c>
      <c r="C6" s="103">
        <f>'Salary Tables'!D10*3*1.03</f>
        <v>12214.522800000001</v>
      </c>
      <c r="D6" s="108">
        <f t="shared" ref="D6:D13" si="0">B6+C6</f>
        <v>49290.306299999997</v>
      </c>
      <c r="E6" s="53">
        <v>2</v>
      </c>
      <c r="F6" s="103">
        <f>'Salary Tables'!$D$10*9*0.5*1.025+('Salary Tables'!$B$44+'Salary Tables'!$B$45+'Salary Tables'!$B$46)*9</f>
        <v>52177.783500000005</v>
      </c>
      <c r="G6" s="43">
        <f>'Salary Tables'!D10*3*1.03</f>
        <v>12214.522800000001</v>
      </c>
      <c r="H6" s="108">
        <f t="shared" ref="H6:H14" si="1">F6+G6</f>
        <v>64392.306300000004</v>
      </c>
      <c r="I6" s="54">
        <v>1</v>
      </c>
      <c r="J6" s="110">
        <f>'Salary Tables'!C19*12*(1+'Salary Tables'!AA19)</f>
        <v>67686.84</v>
      </c>
      <c r="L6" s="29" t="s">
        <v>241</v>
      </c>
      <c r="M6" s="125" t="s">
        <v>189</v>
      </c>
      <c r="N6" s="30">
        <v>8</v>
      </c>
      <c r="O6" s="30">
        <v>8</v>
      </c>
    </row>
    <row r="7" spans="1:15" x14ac:dyDescent="0.25">
      <c r="A7" s="53">
        <v>3</v>
      </c>
      <c r="B7" s="103">
        <f>'Salary Tables'!$E$10*9*0.5*1.025+('Salary Tables'!$B$43+'Salary Tables'!$B$45+'Salary Tables'!$B$46)*9</f>
        <v>39062.617874999996</v>
      </c>
      <c r="C7" s="103">
        <f>'Salary Tables'!E10*3*1.03</f>
        <v>13545.540300000001</v>
      </c>
      <c r="D7" s="108">
        <f t="shared" si="0"/>
        <v>52608.158174999997</v>
      </c>
      <c r="E7" s="53">
        <v>3</v>
      </c>
      <c r="F7" s="103">
        <f>'Salary Tables'!$E$10*9*0.5*1.025+('Salary Tables'!$B$44+'Salary Tables'!$B$45+'Salary Tables'!$B$46)*9</f>
        <v>54164.617874999996</v>
      </c>
      <c r="G7" s="43">
        <f>'Salary Tables'!E10*3*1.03</f>
        <v>13545.540300000001</v>
      </c>
      <c r="H7" s="108">
        <f t="shared" si="1"/>
        <v>67710.15817499999</v>
      </c>
      <c r="I7" s="54">
        <v>2</v>
      </c>
      <c r="J7" s="110">
        <f>'Salary Tables'!D19*12*(1+'Salary Tables'!AA19)</f>
        <v>69947.28</v>
      </c>
      <c r="L7" s="29" t="s">
        <v>241</v>
      </c>
      <c r="M7" s="125" t="s">
        <v>190</v>
      </c>
      <c r="N7" s="30">
        <v>7</v>
      </c>
      <c r="O7" s="30">
        <v>8</v>
      </c>
    </row>
    <row r="8" spans="1:15" x14ac:dyDescent="0.25">
      <c r="A8" s="53">
        <v>4</v>
      </c>
      <c r="B8" s="103">
        <f>'Salary Tables'!$F$10*9*0.5*1.025+('Salary Tables'!$B$43+'Salary Tables'!$B$45+'Salary Tables'!$B$46)*9</f>
        <v>40682.343374999997</v>
      </c>
      <c r="C8" s="103">
        <f>'Salary Tables'!F10*3*1.03</f>
        <v>14630.6247</v>
      </c>
      <c r="D8" s="108">
        <f t="shared" si="0"/>
        <v>55312.968074999997</v>
      </c>
      <c r="E8" s="53">
        <v>4</v>
      </c>
      <c r="F8" s="103">
        <f>'Salary Tables'!$F$10*9*0.5*1.025+('Salary Tables'!$B$44+'Salary Tables'!$B$45+'Salary Tables'!$B$46)*9</f>
        <v>55784.343374999997</v>
      </c>
      <c r="G8" s="43">
        <f>'Salary Tables'!F10*3*1.03</f>
        <v>14630.6247</v>
      </c>
      <c r="H8" s="108">
        <f t="shared" si="1"/>
        <v>70414.968074999997</v>
      </c>
      <c r="I8" s="54">
        <v>3</v>
      </c>
      <c r="J8" s="110">
        <f>'Salary Tables'!E19*12*(1+'Salary Tables'!AA19)</f>
        <v>72530.64</v>
      </c>
      <c r="L8" s="29" t="s">
        <v>241</v>
      </c>
      <c r="M8" s="125" t="s">
        <v>191</v>
      </c>
      <c r="N8" s="325">
        <v>6</v>
      </c>
      <c r="O8" s="325">
        <v>6</v>
      </c>
    </row>
    <row r="9" spans="1:15" x14ac:dyDescent="0.25">
      <c r="A9" s="53">
        <v>5</v>
      </c>
      <c r="B9" s="103">
        <f>'Salary Tables'!$G$10*9*0.5*1.025+('Salary Tables'!$B$43+'Salary Tables'!$B$45+'Salary Tables'!$B$46)*9</f>
        <v>42135.695999999996</v>
      </c>
      <c r="C9" s="103">
        <f>'Salary Tables'!G10*3*1.03</f>
        <v>15604.2528</v>
      </c>
      <c r="D9" s="108">
        <f t="shared" si="0"/>
        <v>57739.948799999998</v>
      </c>
      <c r="E9" s="53">
        <v>5</v>
      </c>
      <c r="F9" s="103">
        <f>'Salary Tables'!$G$10*9*0.5*1.025+('Salary Tables'!$B$44+'Salary Tables'!$B$45+'Salary Tables'!$B$46)*9</f>
        <v>57237.695999999996</v>
      </c>
      <c r="G9" s="43">
        <f>'Salary Tables'!G10*3*1.03</f>
        <v>15604.2528</v>
      </c>
      <c r="H9" s="108">
        <f t="shared" si="1"/>
        <v>72841.948799999998</v>
      </c>
      <c r="I9" s="54">
        <v>4</v>
      </c>
      <c r="J9" s="110">
        <f>'Salary Tables'!F19*12*(1+'Salary Tables'!AA19)</f>
        <v>75226.319999999992</v>
      </c>
      <c r="L9" s="29" t="s">
        <v>241</v>
      </c>
      <c r="M9" s="125" t="s">
        <v>192</v>
      </c>
      <c r="N9" s="30">
        <v>8</v>
      </c>
      <c r="O9" s="30">
        <v>8</v>
      </c>
    </row>
    <row r="10" spans="1:15" ht="16.5" thickBot="1" x14ac:dyDescent="0.3">
      <c r="A10" s="53">
        <v>6</v>
      </c>
      <c r="B10" s="103">
        <f>'Salary Tables'!$H$10*9*0.5*1.025+('Salary Tables'!$B$43+'Salary Tables'!$B$45+'Salary Tables'!$B$46)*9</f>
        <v>43216.912125000003</v>
      </c>
      <c r="C10" s="103">
        <f>'Salary Tables'!H10*3*1.03</f>
        <v>16328.5797</v>
      </c>
      <c r="D10" s="108">
        <f t="shared" si="0"/>
        <v>59545.491825000005</v>
      </c>
      <c r="E10" s="53">
        <v>6</v>
      </c>
      <c r="F10" s="103">
        <f>'Salary Tables'!$H$10*9*0.5*1.025+('Salary Tables'!$B$44+'Salary Tables'!$B$45+'Salary Tables'!$B$46)*9</f>
        <v>58318.912125000003</v>
      </c>
      <c r="G10" s="43">
        <f>'Salary Tables'!H10*3*1.03</f>
        <v>16328.5797</v>
      </c>
      <c r="H10" s="108">
        <f t="shared" si="1"/>
        <v>74647.491825000005</v>
      </c>
      <c r="I10" s="55">
        <v>5</v>
      </c>
      <c r="J10" s="111">
        <f>'Salary Tables'!G19*12*(1+'Salary Tables'!AA19)</f>
        <v>77922</v>
      </c>
      <c r="L10" s="29" t="s">
        <v>241</v>
      </c>
      <c r="M10" s="125" t="s">
        <v>193</v>
      </c>
      <c r="N10" s="30">
        <v>7</v>
      </c>
      <c r="O10" s="30">
        <v>8</v>
      </c>
    </row>
    <row r="11" spans="1:15" x14ac:dyDescent="0.25">
      <c r="A11" s="53">
        <v>7</v>
      </c>
      <c r="B11" s="103">
        <f>'Salary Tables'!$I$10*9*0.5*1.025+('Salary Tables'!$B$43+'Salary Tables'!$B$45+'Salary Tables'!$B$46)*9</f>
        <v>45169.567874999993</v>
      </c>
      <c r="C11" s="103">
        <f>'Salary Tables'!I10*3*1.03</f>
        <v>17636.700300000004</v>
      </c>
      <c r="D11" s="108">
        <f t="shared" si="0"/>
        <v>62806.268174999997</v>
      </c>
      <c r="E11" s="53">
        <v>7</v>
      </c>
      <c r="F11" s="103">
        <f>'Salary Tables'!$I$10*9*0.5*1.025+('Salary Tables'!$B$44+'Salary Tables'!$B$45+'Salary Tables'!$B$46)*9</f>
        <v>60271.567875000001</v>
      </c>
      <c r="G11" s="43">
        <f>'Salary Tables'!I10*3*1.03</f>
        <v>17636.700300000004</v>
      </c>
      <c r="H11" s="108">
        <f t="shared" si="1"/>
        <v>77908.268175000005</v>
      </c>
      <c r="I11" s="50"/>
      <c r="J11" s="50"/>
      <c r="K11" s="50"/>
      <c r="L11" s="29" t="s">
        <v>241</v>
      </c>
      <c r="M11" s="125" t="s">
        <v>194</v>
      </c>
      <c r="N11" s="30">
        <v>6</v>
      </c>
      <c r="O11" s="30">
        <v>7</v>
      </c>
    </row>
    <row r="12" spans="1:15" x14ac:dyDescent="0.25">
      <c r="A12" s="53">
        <v>8</v>
      </c>
      <c r="B12" s="103">
        <f>'Salary Tables'!$J$10*9*0.5*1.025+('Salary Tables'!$B$43+'Salary Tables'!$B$45+'Salary Tables'!$B$46)*9</f>
        <v>47264.011874999997</v>
      </c>
      <c r="C12" s="103">
        <f>'Salary Tables'!J10*3*1.03</f>
        <v>19039.807499999999</v>
      </c>
      <c r="D12" s="108">
        <f>B12+C12</f>
        <v>66303.819374999992</v>
      </c>
      <c r="E12" s="53">
        <v>8</v>
      </c>
      <c r="F12" s="103">
        <f>'Salary Tables'!$J$10*9*0.5*1.025+('Salary Tables'!$B$44+'Salary Tables'!$B$45+'Salary Tables'!$B$46)*9</f>
        <v>62366.011874999997</v>
      </c>
      <c r="G12" s="43">
        <f>'Salary Tables'!J10*3*1.03</f>
        <v>19039.807499999999</v>
      </c>
      <c r="H12" s="108">
        <f t="shared" si="1"/>
        <v>81405.819374999992</v>
      </c>
      <c r="I12" s="50"/>
      <c r="J12" s="50"/>
      <c r="K12" s="50"/>
      <c r="L12" s="29" t="s">
        <v>241</v>
      </c>
      <c r="M12" s="125" t="s">
        <v>195</v>
      </c>
      <c r="N12" s="30">
        <v>1</v>
      </c>
      <c r="O12" s="30">
        <v>2</v>
      </c>
    </row>
    <row r="13" spans="1:15" x14ac:dyDescent="0.25">
      <c r="A13" s="53">
        <v>9</v>
      </c>
      <c r="B13" s="103">
        <f>'Salary Tables'!$K$10*9*0.5*1.025+('Salary Tables'!$B$43+'Salary Tables'!$B$45+'Salary Tables'!$B$46)*9</f>
        <v>49544.108999999997</v>
      </c>
      <c r="C13" s="103">
        <f>'Salary Tables'!K10*3*1.03</f>
        <v>20567.287199999999</v>
      </c>
      <c r="D13" s="108">
        <f t="shared" si="0"/>
        <v>70111.396199999988</v>
      </c>
      <c r="E13" s="53">
        <v>9</v>
      </c>
      <c r="F13" s="103">
        <f>'Salary Tables'!$K$10*9*0.5*1.025+('Salary Tables'!$B$44+'Salary Tables'!$B$45+'Salary Tables'!$B$46)*9</f>
        <v>64646.108999999997</v>
      </c>
      <c r="G13" s="43">
        <f>'Salary Tables'!K10*3*1.03</f>
        <v>20567.287199999999</v>
      </c>
      <c r="H13" s="108">
        <f t="shared" si="1"/>
        <v>85213.396199999988</v>
      </c>
      <c r="I13" s="50"/>
      <c r="J13" s="50"/>
      <c r="K13" s="50"/>
      <c r="L13" s="29" t="s">
        <v>196</v>
      </c>
      <c r="M13" s="125" t="s">
        <v>197</v>
      </c>
      <c r="N13" s="31" t="s">
        <v>198</v>
      </c>
      <c r="O13" s="30">
        <v>6</v>
      </c>
    </row>
    <row r="14" spans="1:15" ht="32.25" thickBot="1" x14ac:dyDescent="0.3">
      <c r="A14" s="55">
        <v>10</v>
      </c>
      <c r="B14" s="104">
        <f>'Salary Tables'!$L$10*9*0.5*1.025+('Salary Tables'!$B$43+'Salary Tables'!$B$45+'Salary Tables'!$B$46)*9</f>
        <v>51991.040249999991</v>
      </c>
      <c r="C14" s="104">
        <f>'Salary Tables'!L10*3*1.03</f>
        <v>22206.532199999998</v>
      </c>
      <c r="D14" s="109">
        <f>B14+C14</f>
        <v>74197.572449999992</v>
      </c>
      <c r="E14" s="55">
        <v>10</v>
      </c>
      <c r="F14" s="104">
        <f>'Salary Tables'!$L$10*9*0.5*1.025+('Salary Tables'!$B$44+'Salary Tables'!$B$45+'Salary Tables'!$B$46)*9</f>
        <v>67093.040249999991</v>
      </c>
      <c r="G14" s="106">
        <f>'Salary Tables'!L10*3*1.03</f>
        <v>22206.532199999998</v>
      </c>
      <c r="H14" s="109">
        <f t="shared" si="1"/>
        <v>89299.572449999992</v>
      </c>
      <c r="I14" s="50"/>
      <c r="J14" s="50"/>
      <c r="K14" s="50"/>
      <c r="L14" s="29" t="s">
        <v>199</v>
      </c>
      <c r="M14" s="125" t="s">
        <v>422</v>
      </c>
      <c r="N14" s="30">
        <v>5</v>
      </c>
      <c r="O14" s="30">
        <v>6</v>
      </c>
    </row>
    <row r="15" spans="1:15" x14ac:dyDescent="0.25">
      <c r="L15" s="29" t="s">
        <v>199</v>
      </c>
      <c r="M15" s="125" t="s">
        <v>423</v>
      </c>
      <c r="N15" s="30">
        <v>6</v>
      </c>
      <c r="O15" s="30">
        <v>7</v>
      </c>
    </row>
    <row r="16" spans="1:15" x14ac:dyDescent="0.25">
      <c r="L16" s="29" t="s">
        <v>200</v>
      </c>
      <c r="M16" s="125" t="s">
        <v>197</v>
      </c>
      <c r="N16" s="31" t="s">
        <v>185</v>
      </c>
      <c r="O16" s="30">
        <v>8</v>
      </c>
    </row>
    <row r="17" spans="1:15" ht="31.5" x14ac:dyDescent="0.3">
      <c r="A17" s="127" t="s">
        <v>249</v>
      </c>
      <c r="L17" s="29" t="s">
        <v>242</v>
      </c>
      <c r="M17" s="125" t="s">
        <v>426</v>
      </c>
      <c r="N17" s="31" t="s">
        <v>427</v>
      </c>
      <c r="O17" s="30">
        <v>8</v>
      </c>
    </row>
    <row r="18" spans="1:15" x14ac:dyDescent="0.25">
      <c r="L18" s="29" t="s">
        <v>242</v>
      </c>
      <c r="M18" s="125" t="s">
        <v>287</v>
      </c>
      <c r="N18" s="30">
        <v>8</v>
      </c>
      <c r="O18" s="30">
        <v>8</v>
      </c>
    </row>
    <row r="19" spans="1:15" x14ac:dyDescent="0.25">
      <c r="A19" s="126" t="s">
        <v>250</v>
      </c>
      <c r="L19" s="29"/>
      <c r="M19" s="125"/>
      <c r="N19" s="30"/>
      <c r="O19" s="30"/>
    </row>
    <row r="20" spans="1:15" x14ac:dyDescent="0.25">
      <c r="A20" s="128" t="s">
        <v>252</v>
      </c>
    </row>
    <row r="21" spans="1:15" x14ac:dyDescent="0.25">
      <c r="A21" s="128" t="s">
        <v>257</v>
      </c>
    </row>
    <row r="22" spans="1:15" x14ac:dyDescent="0.25">
      <c r="A22" s="128" t="s">
        <v>251</v>
      </c>
    </row>
    <row r="23" spans="1:15" x14ac:dyDescent="0.25">
      <c r="A23" s="128" t="s">
        <v>253</v>
      </c>
    </row>
    <row r="24" spans="1:15" x14ac:dyDescent="0.25">
      <c r="A24" s="128" t="s">
        <v>254</v>
      </c>
    </row>
    <row r="25" spans="1:15" x14ac:dyDescent="0.25">
      <c r="A25" s="128" t="s">
        <v>255</v>
      </c>
    </row>
    <row r="26" spans="1:15" x14ac:dyDescent="0.25">
      <c r="A26" s="128" t="s">
        <v>256</v>
      </c>
    </row>
    <row r="28" spans="1:15" x14ac:dyDescent="0.25">
      <c r="A28" s="126" t="s">
        <v>258</v>
      </c>
    </row>
    <row r="29" spans="1:15" x14ac:dyDescent="0.25">
      <c r="A29" s="128" t="s">
        <v>259</v>
      </c>
    </row>
    <row r="30" spans="1:15" x14ac:dyDescent="0.25">
      <c r="A30" s="128" t="s">
        <v>260</v>
      </c>
    </row>
    <row r="31" spans="1:15" x14ac:dyDescent="0.25">
      <c r="A31" s="128" t="s">
        <v>261</v>
      </c>
    </row>
    <row r="32" spans="1:15" x14ac:dyDescent="0.25">
      <c r="A32" s="128" t="s">
        <v>262</v>
      </c>
    </row>
    <row r="34" spans="1:1" x14ac:dyDescent="0.25">
      <c r="A34" s="126" t="s">
        <v>263</v>
      </c>
    </row>
    <row r="35" spans="1:1" x14ac:dyDescent="0.25">
      <c r="A35" s="128" t="s">
        <v>266</v>
      </c>
    </row>
    <row r="36" spans="1:1" x14ac:dyDescent="0.25">
      <c r="A36" s="128" t="s">
        <v>289</v>
      </c>
    </row>
    <row r="37" spans="1:1" x14ac:dyDescent="0.25">
      <c r="A37" s="128" t="s">
        <v>288</v>
      </c>
    </row>
    <row r="38" spans="1:1" x14ac:dyDescent="0.25">
      <c r="A38" s="128" t="s">
        <v>264</v>
      </c>
    </row>
    <row r="39" spans="1:1" x14ac:dyDescent="0.25">
      <c r="A39" s="128" t="s">
        <v>265</v>
      </c>
    </row>
    <row r="40" spans="1:1" x14ac:dyDescent="0.25">
      <c r="A40" s="128" t="s">
        <v>290</v>
      </c>
    </row>
    <row r="42" spans="1:1" x14ac:dyDescent="0.25">
      <c r="A42" s="126" t="s">
        <v>267</v>
      </c>
    </row>
    <row r="43" spans="1:1" x14ac:dyDescent="0.25">
      <c r="A43" s="128" t="s">
        <v>268</v>
      </c>
    </row>
    <row r="45" spans="1:1" x14ac:dyDescent="0.25">
      <c r="A45" s="126" t="s">
        <v>294</v>
      </c>
    </row>
    <row r="46" spans="1:1" x14ac:dyDescent="0.25">
      <c r="A46" s="128" t="s">
        <v>295</v>
      </c>
    </row>
    <row r="48" spans="1:1" x14ac:dyDescent="0.25">
      <c r="A48" s="126" t="s">
        <v>395</v>
      </c>
    </row>
    <row r="49" spans="1:1" x14ac:dyDescent="0.25">
      <c r="A49" s="128" t="s">
        <v>396</v>
      </c>
    </row>
  </sheetData>
  <sheetProtection algorithmName="SHA-512" hashValue="P6t9UiPd60YW+zwCq8NsP01FRG797bzhOr6Bo7Rm5ZyjCW7G0Uw1bcXM63YZEK8+a0Cf8DkmGV6lTlfxtlPn/Q==" saltValue="OJwJhWuwk0sB+8z70+kfxw==" spinCount="100000" sheet="1" objects="1" scenarios="1"/>
  <mergeCells count="10">
    <mergeCell ref="A1:J1"/>
    <mergeCell ref="B3:D3"/>
    <mergeCell ref="A3:A4"/>
    <mergeCell ref="E3:E4"/>
    <mergeCell ref="F3:H3"/>
    <mergeCell ref="I3:I4"/>
    <mergeCell ref="J3:J4"/>
    <mergeCell ref="A2:D2"/>
    <mergeCell ref="E2:H2"/>
    <mergeCell ref="I2:J2"/>
  </mergeCells>
  <pageMargins left="0.75" right="0.75" top="1" bottom="1" header="0.5" footer="0.5"/>
  <pageSetup scale="49" orientation="portrait" horizontalDpi="4294967292" verticalDpi="4294967292"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L83"/>
  <sheetViews>
    <sheetView topLeftCell="A34" workbookViewId="0">
      <selection activeCell="A67" sqref="A67:E67"/>
    </sheetView>
  </sheetViews>
  <sheetFormatPr defaultColWidth="11" defaultRowHeight="15.75" x14ac:dyDescent="0.25"/>
  <cols>
    <col min="1" max="1" width="30.875" customWidth="1"/>
    <col min="2" max="8" width="10.875" customWidth="1"/>
    <col min="9" max="9" width="14.875" customWidth="1"/>
    <col min="10" max="10" width="15" customWidth="1"/>
    <col min="11" max="11" width="14.875" style="246" customWidth="1"/>
  </cols>
  <sheetData>
    <row r="1" spans="1:11" x14ac:dyDescent="0.25">
      <c r="A1" s="126" t="s">
        <v>392</v>
      </c>
    </row>
    <row r="3" spans="1:11" x14ac:dyDescent="0.25">
      <c r="A3" s="126" t="s">
        <v>297</v>
      </c>
    </row>
    <row r="4" spans="1:11" s="221" customFormat="1" ht="15" x14ac:dyDescent="0.25">
      <c r="A4" s="250" t="s">
        <v>11</v>
      </c>
      <c r="B4" s="249" t="s">
        <v>363</v>
      </c>
      <c r="C4" s="249" t="s">
        <v>332</v>
      </c>
      <c r="D4" s="249" t="s">
        <v>333</v>
      </c>
      <c r="E4" s="249" t="s">
        <v>334</v>
      </c>
      <c r="F4" s="249" t="s">
        <v>335</v>
      </c>
      <c r="G4" s="249" t="s">
        <v>336</v>
      </c>
      <c r="H4" s="249" t="s">
        <v>337</v>
      </c>
      <c r="I4" s="249" t="s">
        <v>338</v>
      </c>
      <c r="J4" s="249" t="s">
        <v>339</v>
      </c>
      <c r="K4" s="249" t="s">
        <v>340</v>
      </c>
    </row>
    <row r="5" spans="1:11" s="217" customFormat="1" ht="15" x14ac:dyDescent="0.25">
      <c r="A5" s="222" t="str">
        <f>IF(B5&gt;0,(INDEX('Salary &amp; Fringe'!$A$1:$A$300,MATCH("Senior Person 1",'Salary &amp; Fringe'!$E$1:$E$300,FALSE),1)),"")</f>
        <v/>
      </c>
      <c r="B5" s="247">
        <f>IFERROR(IF(F5&gt;0, C5, D5+E5),0)</f>
        <v>0</v>
      </c>
      <c r="C5" s="247">
        <f>IFERROR(IF(F5&gt;0, (I5/SUM(F5:H5)*12),0),0)</f>
        <v>0</v>
      </c>
      <c r="D5" s="247">
        <f>IFERROR(IF($C5=0, (I5/SUM(F5:H5)*9),0),0)</f>
        <v>0</v>
      </c>
      <c r="E5" s="247">
        <f>IFERROR(IF($C5=0, (I5/SUM(F5:H5)*3),0),0)</f>
        <v>0</v>
      </c>
      <c r="F5" s="251">
        <f>SUMIFS('Salary &amp; Fringe'!$P$1:'Salary &amp; Fringe'!$P$300,'Salary &amp; Fringe'!$E$1:'Salary &amp; Fringe'!$E$300,"Senior Person 1",'Salary &amp; Fringe'!$F$1:'Salary &amp; Fringe'!$F$300,"Calendar*")</f>
        <v>0</v>
      </c>
      <c r="G5" s="251">
        <f>SUMIFS('Salary &amp; Fringe'!$P$1:'Salary &amp; Fringe'!$P$300,'Salary &amp; Fringe'!$E$1:'Salary &amp; Fringe'!$E$300,"Senior Person 1",'Salary &amp; Fringe'!$F$1:'Salary &amp; Fringe'!$F$300,"Academic")</f>
        <v>0</v>
      </c>
      <c r="H5" s="251">
        <f>SUMIFS('Salary &amp; Fringe'!$P$1:'Salary &amp; Fringe'!$P$300,'Salary &amp; Fringe'!$E$1:'Salary &amp; Fringe'!$E$300,"Senior Person 1",'Salary &amp; Fringe'!$F$1:'Salary &amp; Fringe'!$F$300,"Summer")</f>
        <v>0</v>
      </c>
      <c r="I5" s="247">
        <f>SUMIF('Salary &amp; Fringe'!$E$1:$E$300,"Senior Person 1",'Salary &amp; Fringe'!$Z$1:$Z$300)</f>
        <v>0</v>
      </c>
      <c r="J5" s="247">
        <f>SUMIF('Salary &amp; Fringe'!$E$1:$E$300,"Senior Person 1",'Salary &amp; Fringe'!$AJ$1:$AJ$300)</f>
        <v>0</v>
      </c>
      <c r="K5" s="247">
        <f>I5+J5</f>
        <v>0</v>
      </c>
    </row>
    <row r="6" spans="1:11" s="217" customFormat="1" ht="15" x14ac:dyDescent="0.25">
      <c r="A6" s="222" t="str">
        <f>IF(B6&gt;0,(INDEX('Salary &amp; Fringe'!$A$1:$A$300,MATCH("Senior Person 2",'Salary &amp; Fringe'!$E$1:$E$300,FALSE),1)),"")</f>
        <v/>
      </c>
      <c r="B6" s="247">
        <f t="shared" ref="B6:B9" si="0">IFERROR(IF(F6&gt;0, C6, D6+E6),0)</f>
        <v>0</v>
      </c>
      <c r="C6" s="247">
        <f t="shared" ref="C6:C9" si="1">IFERROR(IF(F6&gt;0, (I6/SUM(F6:H6)*12),0),0)</f>
        <v>0</v>
      </c>
      <c r="D6" s="247">
        <f t="shared" ref="D6:D9" si="2">IFERROR(IF($C6=0, (I6/SUM(F6:H6)*9),0),0)</f>
        <v>0</v>
      </c>
      <c r="E6" s="247">
        <f t="shared" ref="E6:E9" si="3">IFERROR(IF($C6=0, (I6/SUM(F6:H6)*3),0),0)</f>
        <v>0</v>
      </c>
      <c r="F6" s="251">
        <f>SUMIFS('Salary &amp; Fringe'!$P$1:'Salary &amp; Fringe'!$P$300,'Salary &amp; Fringe'!$E$1:'Salary &amp; Fringe'!$E$300,"Senior Person 2",'Salary &amp; Fringe'!$F$1:'Salary &amp; Fringe'!$F$300,"Calendar*")</f>
        <v>0</v>
      </c>
      <c r="G6" s="251">
        <f>SUMIFS('Salary &amp; Fringe'!$P$1:'Salary &amp; Fringe'!$P$300,'Salary &amp; Fringe'!$E$1:'Salary &amp; Fringe'!$E$300,"Senior Person 2",'Salary &amp; Fringe'!$F$1:'Salary &amp; Fringe'!$F$300,"Academic")</f>
        <v>0</v>
      </c>
      <c r="H6" s="251">
        <f>SUMIFS('Salary &amp; Fringe'!$P$1:'Salary &amp; Fringe'!$P$300,'Salary &amp; Fringe'!$E$1:'Salary &amp; Fringe'!$E$300,"Senior Person 2",'Salary &amp; Fringe'!$F$1:'Salary &amp; Fringe'!$F$300,"Summer")</f>
        <v>0</v>
      </c>
      <c r="I6" s="247">
        <f>SUMIF('Salary &amp; Fringe'!$E$1:$E$300,"Senior Person 2",'Salary &amp; Fringe'!$Z$1:$Z$300)</f>
        <v>0</v>
      </c>
      <c r="J6" s="247">
        <f>SUMIF('Salary &amp; Fringe'!$E$1:$E$300,"Senior Person 2",'Salary &amp; Fringe'!$AJ$1:$AJ$300)</f>
        <v>0</v>
      </c>
      <c r="K6" s="247">
        <f t="shared" ref="K6:K10" si="4">I6+J6</f>
        <v>0</v>
      </c>
    </row>
    <row r="7" spans="1:11" s="217" customFormat="1" ht="15" x14ac:dyDescent="0.25">
      <c r="A7" s="222" t="str">
        <f>IF(B7&gt;0,(INDEX('Salary &amp; Fringe'!$A$1:$A$300,MATCH("Senior Person 3",'Salary &amp; Fringe'!$E$1:$E$300,FALSE),1)),"")</f>
        <v/>
      </c>
      <c r="B7" s="247">
        <f t="shared" si="0"/>
        <v>0</v>
      </c>
      <c r="C7" s="247">
        <f t="shared" si="1"/>
        <v>0</v>
      </c>
      <c r="D7" s="247">
        <f t="shared" si="2"/>
        <v>0</v>
      </c>
      <c r="E7" s="247">
        <f t="shared" si="3"/>
        <v>0</v>
      </c>
      <c r="F7" s="251">
        <f>SUMIFS('Salary &amp; Fringe'!$P$1:'Salary &amp; Fringe'!$P$300,'Salary &amp; Fringe'!$E$1:'Salary &amp; Fringe'!$E$300,"Senior Person 3",'Salary &amp; Fringe'!$F$1:'Salary &amp; Fringe'!$F$300,"Calendar*")</f>
        <v>0</v>
      </c>
      <c r="G7" s="251">
        <f>SUMIFS('Salary &amp; Fringe'!$P$1:'Salary &amp; Fringe'!$P$300,'Salary &amp; Fringe'!$E$1:'Salary &amp; Fringe'!$E$300,"Senior Person 3",'Salary &amp; Fringe'!$F$1:'Salary &amp; Fringe'!$F$300,"Academic")</f>
        <v>0</v>
      </c>
      <c r="H7" s="251">
        <f>SUMIFS('Salary &amp; Fringe'!$P$1:'Salary &amp; Fringe'!$P$300,'Salary &amp; Fringe'!$E$1:'Salary &amp; Fringe'!$E$300,"Senior Person 3",'Salary &amp; Fringe'!$F$1:'Salary &amp; Fringe'!$F$300,"Summer")</f>
        <v>0</v>
      </c>
      <c r="I7" s="247">
        <f>SUMIF('Salary &amp; Fringe'!$E$1:$E$300,"Senior Person 3",'Salary &amp; Fringe'!$Z$1:$Z$300)</f>
        <v>0</v>
      </c>
      <c r="J7" s="247">
        <f>SUMIF('Salary &amp; Fringe'!$E$1:$E$300,"Senior Person 3",'Salary &amp; Fringe'!$AJ$1:$AJ$300)</f>
        <v>0</v>
      </c>
      <c r="K7" s="247">
        <f t="shared" si="4"/>
        <v>0</v>
      </c>
    </row>
    <row r="8" spans="1:11" s="217" customFormat="1" ht="15" x14ac:dyDescent="0.25">
      <c r="A8" s="222" t="str">
        <f>IF(B8&gt;0,(INDEX('Salary &amp; Fringe'!$A$1:$A$300,MATCH("Senior Person 4",'Salary &amp; Fringe'!$E$1:$E$300,FALSE),1)),"")</f>
        <v/>
      </c>
      <c r="B8" s="247">
        <f t="shared" si="0"/>
        <v>0</v>
      </c>
      <c r="C8" s="247">
        <f t="shared" si="1"/>
        <v>0</v>
      </c>
      <c r="D8" s="247">
        <f t="shared" si="2"/>
        <v>0</v>
      </c>
      <c r="E8" s="247">
        <f t="shared" si="3"/>
        <v>0</v>
      </c>
      <c r="F8" s="251">
        <f>SUMIFS('Salary &amp; Fringe'!$P$1:'Salary &amp; Fringe'!$P$300,'Salary &amp; Fringe'!$E$1:'Salary &amp; Fringe'!$E$300,"Senior Person 4",'Salary &amp; Fringe'!$F$1:'Salary &amp; Fringe'!$F$300,"Calendar*")</f>
        <v>0</v>
      </c>
      <c r="G8" s="251">
        <f>SUMIFS('Salary &amp; Fringe'!$P$1:'Salary &amp; Fringe'!$P$300,'Salary &amp; Fringe'!$E$1:'Salary &amp; Fringe'!$E$300,"Senior Person 4",'Salary &amp; Fringe'!$F$1:'Salary &amp; Fringe'!$F$300,"Academic")</f>
        <v>0</v>
      </c>
      <c r="H8" s="251">
        <f>SUMIFS('Salary &amp; Fringe'!$P$1:'Salary &amp; Fringe'!$P$300,'Salary &amp; Fringe'!$E$1:'Salary &amp; Fringe'!$E$300,"Senior Person 4",'Salary &amp; Fringe'!$F$1:'Salary &amp; Fringe'!$F$300,"Summer")</f>
        <v>0</v>
      </c>
      <c r="I8" s="247">
        <f>SUMIF('Salary &amp; Fringe'!$E$1:$E$300,"Senior Person 4",'Salary &amp; Fringe'!$Z$1:$Z$300)</f>
        <v>0</v>
      </c>
      <c r="J8" s="247">
        <f>SUMIF('Salary &amp; Fringe'!$E$1:$E$300,"Senior Person 4",'Salary &amp; Fringe'!$AJ$1:$AJ$300)</f>
        <v>0</v>
      </c>
      <c r="K8" s="247">
        <f t="shared" si="4"/>
        <v>0</v>
      </c>
    </row>
    <row r="9" spans="1:11" s="217" customFormat="1" ht="15" x14ac:dyDescent="0.25">
      <c r="A9" s="222" t="str">
        <f>IF(B9&gt;0,(INDEX('Salary &amp; Fringe'!$A$1:$A$300,MATCH("Senior Person 5",'Salary &amp; Fringe'!$E$1:$E$300,FALSE),1)),"")</f>
        <v/>
      </c>
      <c r="B9" s="247">
        <f t="shared" si="0"/>
        <v>0</v>
      </c>
      <c r="C9" s="247">
        <f t="shared" si="1"/>
        <v>0</v>
      </c>
      <c r="D9" s="247">
        <f t="shared" si="2"/>
        <v>0</v>
      </c>
      <c r="E9" s="247">
        <f t="shared" si="3"/>
        <v>0</v>
      </c>
      <c r="F9" s="251">
        <f>SUMIFS('Salary &amp; Fringe'!$P$1:'Salary &amp; Fringe'!$P$300,'Salary &amp; Fringe'!$E$1:'Salary &amp; Fringe'!$E$300,"Senior Person 5",'Salary &amp; Fringe'!$F$1:'Salary &amp; Fringe'!$F$300,"Calendar*")</f>
        <v>0</v>
      </c>
      <c r="G9" s="251">
        <f>SUMIFS('Salary &amp; Fringe'!$P$1:'Salary &amp; Fringe'!$P$300,'Salary &amp; Fringe'!$E$1:'Salary &amp; Fringe'!$E$300,"Senior Person 5",'Salary &amp; Fringe'!$F$1:'Salary &amp; Fringe'!$F$300,"Academic")</f>
        <v>0</v>
      </c>
      <c r="H9" s="251">
        <f>SUMIFS('Salary &amp; Fringe'!$P$1:'Salary &amp; Fringe'!$P$300,'Salary &amp; Fringe'!$E$1:'Salary &amp; Fringe'!$E$300,"Senior Person 5",'Salary &amp; Fringe'!$F$1:'Salary &amp; Fringe'!$F$300,"Summer")</f>
        <v>0</v>
      </c>
      <c r="I9" s="247">
        <f>SUMIF('Salary &amp; Fringe'!$E$1:$E$300,"Senior Person 5",'Salary &amp; Fringe'!$Z$1:$Z$300)</f>
        <v>0</v>
      </c>
      <c r="J9" s="247">
        <f>SUMIF('Salary &amp; Fringe'!$E$1:$E$300,"Senior Person 5",'Salary &amp; Fringe'!$AJ$1:$AJ$300)</f>
        <v>0</v>
      </c>
      <c r="K9" s="247">
        <f t="shared" si="4"/>
        <v>0</v>
      </c>
    </row>
    <row r="10" spans="1:11" s="217" customFormat="1" thickBot="1" x14ac:dyDescent="0.3">
      <c r="A10" s="224"/>
      <c r="B10" s="241"/>
      <c r="C10" s="241"/>
      <c r="D10" s="241"/>
      <c r="E10" s="241"/>
      <c r="F10" s="583" t="s">
        <v>366</v>
      </c>
      <c r="G10" s="584"/>
      <c r="H10" s="585"/>
      <c r="I10" s="247">
        <f>SUMIF('Salary &amp; Fringe'!$E$1:$E$300,"Senior (Other)",'Salary &amp; Fringe'!$Z$1:$Z$300)</f>
        <v>0</v>
      </c>
      <c r="J10" s="247">
        <f>SUMIF('Salary &amp; Fringe'!$E$1:$E$300,"Senior (Other)",'Salary &amp; Fringe'!$AJ$1:$AJ$300)</f>
        <v>0</v>
      </c>
      <c r="K10" s="247">
        <f t="shared" si="4"/>
        <v>0</v>
      </c>
    </row>
    <row r="11" spans="1:11" s="217" customFormat="1" thickBot="1" x14ac:dyDescent="0.3">
      <c r="I11" s="583" t="s">
        <v>361</v>
      </c>
      <c r="J11" s="586"/>
      <c r="K11" s="235">
        <f>SUM(K5:K10)</f>
        <v>0</v>
      </c>
    </row>
    <row r="12" spans="1:11" x14ac:dyDescent="0.25">
      <c r="A12" s="126" t="s">
        <v>102</v>
      </c>
    </row>
    <row r="13" spans="1:11" s="221" customFormat="1" ht="15" x14ac:dyDescent="0.25">
      <c r="A13" s="223" t="s">
        <v>341</v>
      </c>
      <c r="B13" s="587" t="s">
        <v>342</v>
      </c>
      <c r="C13" s="587"/>
      <c r="D13" s="249" t="s">
        <v>343</v>
      </c>
      <c r="E13" s="249" t="s">
        <v>344</v>
      </c>
      <c r="F13" s="249" t="s">
        <v>345</v>
      </c>
      <c r="G13" s="587" t="s">
        <v>338</v>
      </c>
      <c r="H13" s="587"/>
      <c r="I13" s="587" t="s">
        <v>339</v>
      </c>
      <c r="J13" s="587"/>
      <c r="K13" s="249" t="s">
        <v>346</v>
      </c>
    </row>
    <row r="14" spans="1:11" s="217" customFormat="1" ht="15" x14ac:dyDescent="0.25">
      <c r="A14" s="239">
        <f>SUMIFS('Salary &amp; Fringe'!$I$1:$I$300,'Salary &amp; Fringe'!$E$1:$E$300,"Postdoc", 'Salary &amp; Fringe'!$P$1:'Salary &amp; Fringe'!$P$300, "&gt;0")</f>
        <v>0</v>
      </c>
      <c r="B14" s="580" t="s">
        <v>103</v>
      </c>
      <c r="C14" s="580"/>
      <c r="D14" s="251">
        <f>SUMIFS('Salary &amp; Fringe'!$P$1:'Salary &amp; Fringe'!$P$300,'Salary &amp; Fringe'!$E$1:'Salary &amp; Fringe'!$E$300,"Postdoc",'Salary &amp; Fringe'!$F$1:'Salary &amp; Fringe'!$F$300,"Calendar*")+SUMIFS('Salary &amp; Fringe'!$P$1:'Salary &amp; Fringe'!$P$300,'Salary &amp; Fringe'!$E$1:'Salary &amp; Fringe'!$E$300,"Postdoc",'Salary &amp; Fringe'!$F$1:'Salary &amp; Fringe'!$F$300,"Hourly")</f>
        <v>0</v>
      </c>
      <c r="E14" s="251">
        <f>SUMIFS('Salary &amp; Fringe'!$P$1:'Salary &amp; Fringe'!$P$300,'Salary &amp; Fringe'!$E$1:'Salary &amp; Fringe'!$E$300,"Postdoc",'Salary &amp; Fringe'!$F$1:'Salary &amp; Fringe'!$F$300,"Academic")</f>
        <v>0</v>
      </c>
      <c r="F14" s="251">
        <f>SUMIFS('Salary &amp; Fringe'!$P$1:'Salary &amp; Fringe'!$P$300,'Salary &amp; Fringe'!$E$1:'Salary &amp; Fringe'!$E$300,"Postdoc",'Salary &amp; Fringe'!$F$1:'Salary &amp; Fringe'!$F$300,"Summer")</f>
        <v>0</v>
      </c>
      <c r="G14" s="581">
        <f>SUMIF('Salary &amp; Fringe'!$E$1:$E$300,"Postdoc",'Salary &amp; Fringe'!$Z$1:$Z$300)</f>
        <v>0</v>
      </c>
      <c r="H14" s="582"/>
      <c r="I14" s="581">
        <f>SUMIF('Salary &amp; Fringe'!$E$1:$E$300,"Postdoc",'Salary &amp; Fringe'!$AJ$1:$AJ$300)</f>
        <v>0</v>
      </c>
      <c r="J14" s="582"/>
      <c r="K14" s="247">
        <f>G14+I14</f>
        <v>0</v>
      </c>
    </row>
    <row r="15" spans="1:11" s="217" customFormat="1" ht="15" x14ac:dyDescent="0.25">
      <c r="A15" s="243"/>
      <c r="B15" s="580" t="s">
        <v>105</v>
      </c>
      <c r="C15" s="580"/>
      <c r="D15" s="251">
        <f>SUMIFS('Salary &amp; Fringe'!$P$1:'Salary &amp; Fringe'!$P$300,'Salary &amp; Fringe'!$E$1:'Salary &amp; Fringe'!$E$300,"Grad",'Salary &amp; Fringe'!$F$1:'Salary &amp; Fringe'!$F$300,"Calendar*")+SUMIFS('Salary &amp; Fringe'!$P$1:'Salary &amp; Fringe'!$P$300,'Salary &amp; Fringe'!$E$1:'Salary &amp; Fringe'!$E$300,"Grad",'Salary &amp; Fringe'!$F$1:'Salary &amp; Fringe'!$F$300,"Hourly")</f>
        <v>0</v>
      </c>
      <c r="E15" s="251">
        <f>SUMIFS('Salary &amp; Fringe'!$P$1:'Salary &amp; Fringe'!$P$300,'Salary &amp; Fringe'!$E$1:'Salary &amp; Fringe'!$E$300,"Grad",'Salary &amp; Fringe'!$F$1:'Salary &amp; Fringe'!$F$300,"Academic")*2</f>
        <v>0</v>
      </c>
      <c r="F15" s="251">
        <f>SUMIFS('Salary &amp; Fringe'!$P$1:'Salary &amp; Fringe'!$P$300,'Salary &amp; Fringe'!$E$1:'Salary &amp; Fringe'!$E$300,"Grad",'Salary &amp; Fringe'!$F$1:'Salary &amp; Fringe'!$F$300,"Summer")*2</f>
        <v>0</v>
      </c>
      <c r="G15" s="588">
        <f>SUMIF('Salary &amp; Fringe'!$E$1:$E$300,"Grad",'Salary &amp; Fringe'!$Z$1:$Z$300)</f>
        <v>0</v>
      </c>
      <c r="H15" s="588"/>
      <c r="I15" s="588">
        <f>SUMIF('Salary &amp; Fringe'!$E$1:$E$300,"Grad",'Salary &amp; Fringe'!$AJ$1:$AJ$300)</f>
        <v>0</v>
      </c>
      <c r="J15" s="588"/>
      <c r="K15" s="247">
        <f t="shared" ref="K15:K23" si="5">G15+I15</f>
        <v>0</v>
      </c>
    </row>
    <row r="16" spans="1:11" s="217" customFormat="1" ht="15" x14ac:dyDescent="0.25">
      <c r="A16" s="243"/>
      <c r="B16" s="580" t="s">
        <v>367</v>
      </c>
      <c r="C16" s="580"/>
      <c r="D16" s="251">
        <f>SUMIF('Salary &amp; Fringe'!$E$1:$E$300,"Undergrad",'Salary &amp; Fringe'!$P$1:$P$300)</f>
        <v>0</v>
      </c>
      <c r="E16" s="251">
        <v>0</v>
      </c>
      <c r="F16" s="251">
        <v>0</v>
      </c>
      <c r="G16" s="588">
        <f>SUMIF('Salary &amp; Fringe'!$E$1:$E$300,"Undergrad",'Salary &amp; Fringe'!$Z$1:$Z$300)</f>
        <v>0</v>
      </c>
      <c r="H16" s="588"/>
      <c r="I16" s="588">
        <f>SUMIF('Salary &amp; Fringe'!$E$1:$E$300,"Undergrad",'Salary &amp; Fringe'!$AJ$1:$AJ$300)</f>
        <v>0</v>
      </c>
      <c r="J16" s="588"/>
      <c r="K16" s="247">
        <f t="shared" si="5"/>
        <v>0</v>
      </c>
    </row>
    <row r="17" spans="1:11" s="217" customFormat="1" ht="15" x14ac:dyDescent="0.25">
      <c r="A17" s="251">
        <f>SUMIFS('Salary &amp; Fringe'!$I$1:$I$300,'Salary &amp; Fringe'!$E$1:$E$300,"Clerical", 'Salary &amp; Fringe'!$P$1:'Salary &amp; Fringe'!$P$300, "&gt;0")</f>
        <v>0</v>
      </c>
      <c r="B17" s="580" t="s">
        <v>348</v>
      </c>
      <c r="C17" s="580"/>
      <c r="D17" s="251">
        <f>SUMIFS('Salary &amp; Fringe'!$P$1:'Salary &amp; Fringe'!$P$300,'Salary &amp; Fringe'!$E$1:'Salary &amp; Fringe'!$E$300,"Clerical",'Salary &amp; Fringe'!$F$1:'Salary &amp; Fringe'!$F$300,"Calendar*")+SUMIFS('Salary &amp; Fringe'!$P$1:'Salary &amp; Fringe'!$P$300,'Salary &amp; Fringe'!$E$1:'Salary &amp; Fringe'!$E$300,"Clerical",'Salary &amp; Fringe'!$F$1:'Salary &amp; Fringe'!$F$300,"Hourly")</f>
        <v>0</v>
      </c>
      <c r="E17" s="251">
        <f>SUMIFS('Salary &amp; Fringe'!$P$1:'Salary &amp; Fringe'!$P$300,'Salary &amp; Fringe'!$E$1:'Salary &amp; Fringe'!$E$300,"Clerical",'Salary &amp; Fringe'!$F$1:'Salary &amp; Fringe'!$F$300,"Academic")</f>
        <v>0</v>
      </c>
      <c r="F17" s="251">
        <f>SUMIFS('Salary &amp; Fringe'!$P$1:'Salary &amp; Fringe'!$P$300,'Salary &amp; Fringe'!$E$1:'Salary &amp; Fringe'!$E$300,"Clerical",'Salary &amp; Fringe'!$F$1:'Salary &amp; Fringe'!$F$300,"Summer")</f>
        <v>0</v>
      </c>
      <c r="G17" s="588">
        <f>SUMIF('Salary &amp; Fringe'!$E$1:$E$300,"Clerical",'Salary &amp; Fringe'!$Z$1:$Z$300)</f>
        <v>0</v>
      </c>
      <c r="H17" s="588"/>
      <c r="I17" s="588">
        <f>SUMIF('Salary &amp; Fringe'!$E$1:$E$300,"Clerical",'Salary &amp; Fringe'!$AJ$1:$AJ$300)</f>
        <v>0</v>
      </c>
      <c r="J17" s="588"/>
      <c r="K17" s="247">
        <f t="shared" si="5"/>
        <v>0</v>
      </c>
    </row>
    <row r="18" spans="1:11" s="217" customFormat="1" ht="15" x14ac:dyDescent="0.25">
      <c r="A18" s="251">
        <f>SUMIFS('Salary &amp; Fringe'!$I$1:$I$300,'Salary &amp; Fringe'!$E$1:$E$300,"Other 1", 'Salary &amp; Fringe'!$P$1:'Salary &amp; Fringe'!$P$300, "&gt;0")</f>
        <v>0</v>
      </c>
      <c r="B18" s="580" t="str">
        <f>IF(G18&gt;0,(INDEX('Salary &amp; Fringe'!$B$1:$B$300,MATCH("Other 1",'Salary &amp; Fringe'!$E$1:$E$300,FALSE),1)),"")</f>
        <v/>
      </c>
      <c r="C18" s="580"/>
      <c r="D18" s="251">
        <f>SUMIFS('Salary &amp; Fringe'!$P$1:'Salary &amp; Fringe'!$P$300,'Salary &amp; Fringe'!$E$1:'Salary &amp; Fringe'!$E$300,"Other 1",'Salary &amp; Fringe'!$F$1:'Salary &amp; Fringe'!$F$300,"Calendar*")+SUMIFS('Salary &amp; Fringe'!$P$1:'Salary &amp; Fringe'!$P$300,'Salary &amp; Fringe'!$E$1:'Salary &amp; Fringe'!$E$300,"Other 1",'Salary &amp; Fringe'!$F$1:'Salary &amp; Fringe'!$F$300,"Hourly")</f>
        <v>0</v>
      </c>
      <c r="E18" s="251">
        <f>SUMIFS('Salary &amp; Fringe'!$P$1:'Salary &amp; Fringe'!$P$300,'Salary &amp; Fringe'!$E$1:'Salary &amp; Fringe'!$E$300,"Other 1",'Salary &amp; Fringe'!$F$1:'Salary &amp; Fringe'!$F$300,"Academic")</f>
        <v>0</v>
      </c>
      <c r="F18" s="251">
        <f>SUMIFS('Salary &amp; Fringe'!$P$1:'Salary &amp; Fringe'!$P$300,'Salary &amp; Fringe'!$E$1:'Salary &amp; Fringe'!$E$300,"Other 1",'Salary &amp; Fringe'!$F$1:'Salary &amp; Fringe'!$F$300,"Summer")</f>
        <v>0</v>
      </c>
      <c r="G18" s="588">
        <f>SUMIF('Salary &amp; Fringe'!$E$1:$E$300,"Other 1",'Salary &amp; Fringe'!$Z$1:$Z$300)</f>
        <v>0</v>
      </c>
      <c r="H18" s="588"/>
      <c r="I18" s="588">
        <f>SUMIF('Salary &amp; Fringe'!$E$1:$E$300,"Other 1",'Salary &amp; Fringe'!$AJ$1:$AJ$300)</f>
        <v>0</v>
      </c>
      <c r="J18" s="588"/>
      <c r="K18" s="247">
        <f t="shared" si="5"/>
        <v>0</v>
      </c>
    </row>
    <row r="19" spans="1:11" s="217" customFormat="1" ht="15" x14ac:dyDescent="0.25">
      <c r="A19" s="251">
        <f>SUMIFS('Salary &amp; Fringe'!$I$1:$I$300,'Salary &amp; Fringe'!$E$1:$E$300,"Other 2", 'Salary &amp; Fringe'!$P$1:'Salary &amp; Fringe'!$P$300, "&gt;0")</f>
        <v>0</v>
      </c>
      <c r="B19" s="580" t="str">
        <f>IF(G19&gt;0,(INDEX('Salary &amp; Fringe'!$B$1:$B$300,MATCH("Other 2",'Salary &amp; Fringe'!$E$1:$E$300,FALSE),1)),"")</f>
        <v/>
      </c>
      <c r="C19" s="580"/>
      <c r="D19" s="251">
        <f>SUMIFS('Salary &amp; Fringe'!$P$1:'Salary &amp; Fringe'!$P$300,'Salary &amp; Fringe'!$E$1:'Salary &amp; Fringe'!$E$300,"Other 2",'Salary &amp; Fringe'!$F$1:'Salary &amp; Fringe'!$F$300,"Calendar*")+SUMIFS('Salary &amp; Fringe'!$P$1:'Salary &amp; Fringe'!$P$300,'Salary &amp; Fringe'!$E$1:'Salary &amp; Fringe'!$E$300,"Other 2",'Salary &amp; Fringe'!$F$1:'Salary &amp; Fringe'!$F$300,"Hourly")</f>
        <v>0</v>
      </c>
      <c r="E19" s="251">
        <f>SUMIFS('Salary &amp; Fringe'!$P$1:'Salary &amp; Fringe'!$P$300,'Salary &amp; Fringe'!$E$1:'Salary &amp; Fringe'!$E$300,"Other 2",'Salary &amp; Fringe'!$F$1:'Salary &amp; Fringe'!$F$300,"Academic")</f>
        <v>0</v>
      </c>
      <c r="F19" s="251">
        <f>SUMIFS('Salary &amp; Fringe'!$P$1:'Salary &amp; Fringe'!$P$300,'Salary &amp; Fringe'!$E$1:'Salary &amp; Fringe'!$E$300,"Other 2",'Salary &amp; Fringe'!$F$1:'Salary &amp; Fringe'!$F$300,"Summer")</f>
        <v>0</v>
      </c>
      <c r="G19" s="588">
        <f>SUMIF('Salary &amp; Fringe'!$E$1:$E$300,"Other 2",'Salary &amp; Fringe'!$Z$1:$Z$300)</f>
        <v>0</v>
      </c>
      <c r="H19" s="588"/>
      <c r="I19" s="588">
        <f>SUMIF('Salary &amp; Fringe'!$E$1:$E$300,"Other 2",'Salary &amp; Fringe'!$AJ$1:$AJ$300)</f>
        <v>0</v>
      </c>
      <c r="J19" s="588"/>
      <c r="K19" s="247">
        <f t="shared" si="5"/>
        <v>0</v>
      </c>
    </row>
    <row r="20" spans="1:11" s="217" customFormat="1" ht="15" x14ac:dyDescent="0.25">
      <c r="A20" s="251">
        <f>SUMIFS('Salary &amp; Fringe'!$I$1:$I$300,'Salary &amp; Fringe'!$E$1:$E$300,"Other 3", 'Salary &amp; Fringe'!$P$1:'Salary &amp; Fringe'!$P$300, "&gt;0")</f>
        <v>0</v>
      </c>
      <c r="B20" s="580" t="str">
        <f>IF(G20&gt;0,(INDEX('Salary &amp; Fringe'!$B$1:$B$300,MATCH("Other 3",'Salary &amp; Fringe'!$E$1:$E$300,FALSE),1)),"")</f>
        <v/>
      </c>
      <c r="C20" s="580"/>
      <c r="D20" s="251">
        <f>SUMIFS('Salary &amp; Fringe'!$P$1:'Salary &amp; Fringe'!$P$300,'Salary &amp; Fringe'!$E$1:'Salary &amp; Fringe'!$E$300,"Other 3",'Salary &amp; Fringe'!$F$1:'Salary &amp; Fringe'!$F$300,"Calendar*")+SUMIFS('Salary &amp; Fringe'!$P$1:'Salary &amp; Fringe'!$P$300,'Salary &amp; Fringe'!$E$1:'Salary &amp; Fringe'!$E$300,"Other 3",'Salary &amp; Fringe'!$F$1:'Salary &amp; Fringe'!$F$300,"Hourly")</f>
        <v>0</v>
      </c>
      <c r="E20" s="251">
        <f>SUMIFS('Salary &amp; Fringe'!$P$1:'Salary &amp; Fringe'!$P$300,'Salary &amp; Fringe'!$E$1:'Salary &amp; Fringe'!$E$300,"Other 3",'Salary &amp; Fringe'!$F$1:'Salary &amp; Fringe'!$F$300,"Academic")</f>
        <v>0</v>
      </c>
      <c r="F20" s="251">
        <f>SUMIFS('Salary &amp; Fringe'!$P$1:'Salary &amp; Fringe'!$P$300,'Salary &amp; Fringe'!$E$1:'Salary &amp; Fringe'!$E$300,"Other 3",'Salary &amp; Fringe'!$F$1:'Salary &amp; Fringe'!$F$300,"Summer")</f>
        <v>0</v>
      </c>
      <c r="G20" s="588">
        <f>SUMIF('Salary &amp; Fringe'!$E$1:$E$300,"Other 3",'Salary &amp; Fringe'!$Z$1:$Z$300)</f>
        <v>0</v>
      </c>
      <c r="H20" s="588"/>
      <c r="I20" s="588">
        <f>SUMIF('Salary &amp; Fringe'!$E$1:$E$300,"Other 3",'Salary &amp; Fringe'!$AJ$1:$AJ$300)</f>
        <v>0</v>
      </c>
      <c r="J20" s="588"/>
      <c r="K20" s="247">
        <f t="shared" si="5"/>
        <v>0</v>
      </c>
    </row>
    <row r="21" spans="1:11" s="217" customFormat="1" ht="15" x14ac:dyDescent="0.25">
      <c r="A21" s="251">
        <f>SUMIFS('Salary &amp; Fringe'!$I$1:$I$300,'Salary &amp; Fringe'!$E$1:$E$300,"Other 4", 'Salary &amp; Fringe'!$P$1:'Salary &amp; Fringe'!$P$300, "&gt;0")</f>
        <v>0</v>
      </c>
      <c r="B21" s="580" t="str">
        <f>IF(G21&gt;0,(INDEX('Salary &amp; Fringe'!$B$1:$B$300,MATCH("Other 4",'Salary &amp; Fringe'!$E$1:$E$300,FALSE),1)),"")</f>
        <v/>
      </c>
      <c r="C21" s="580"/>
      <c r="D21" s="251">
        <f>SUMIFS('Salary &amp; Fringe'!$P$1:'Salary &amp; Fringe'!$P$300,'Salary &amp; Fringe'!$E$1:'Salary &amp; Fringe'!$E$300,"Other 4",'Salary &amp; Fringe'!$F$1:'Salary &amp; Fringe'!$F$300,"Calendar*")+SUMIFS('Salary &amp; Fringe'!$P$1:'Salary &amp; Fringe'!$P$300,'Salary &amp; Fringe'!$E$1:'Salary &amp; Fringe'!$E$300,"Other 4",'Salary &amp; Fringe'!$F$1:'Salary &amp; Fringe'!$F$300,"Hourly")</f>
        <v>0</v>
      </c>
      <c r="E21" s="251">
        <f>SUMIFS('Salary &amp; Fringe'!$P$1:'Salary &amp; Fringe'!$P$300,'Salary &amp; Fringe'!$E$1:'Salary &amp; Fringe'!$E$300,"Other 4",'Salary &amp; Fringe'!$F$1:'Salary &amp; Fringe'!$F$300,"Academic")</f>
        <v>0</v>
      </c>
      <c r="F21" s="251">
        <f>SUMIFS('Salary &amp; Fringe'!$P$1:'Salary &amp; Fringe'!$P$300,'Salary &amp; Fringe'!$E$1:'Salary &amp; Fringe'!$E$300,"Other 4",'Salary &amp; Fringe'!$F$1:'Salary &amp; Fringe'!$F$300,"Summer")</f>
        <v>0</v>
      </c>
      <c r="G21" s="588">
        <f>SUMIF('Salary &amp; Fringe'!$E$1:$E$300,"Other 4",'Salary &amp; Fringe'!$Z$1:$Z$300)</f>
        <v>0</v>
      </c>
      <c r="H21" s="588"/>
      <c r="I21" s="588">
        <f>SUMIF('Salary &amp; Fringe'!$E$1:$E$300,"Other 4",'Salary &amp; Fringe'!$AJ$1:$AJ$300)</f>
        <v>0</v>
      </c>
      <c r="J21" s="588"/>
      <c r="K21" s="247">
        <f t="shared" si="5"/>
        <v>0</v>
      </c>
    </row>
    <row r="22" spans="1:11" s="217" customFormat="1" ht="15" x14ac:dyDescent="0.25">
      <c r="A22" s="251">
        <f>SUMIFS('Salary &amp; Fringe'!$I$1:$I$300,'Salary &amp; Fringe'!$E$1:$E$300,"Other 5", 'Salary &amp; Fringe'!$P$1:'Salary &amp; Fringe'!$P$300, "&gt;0")</f>
        <v>0</v>
      </c>
      <c r="B22" s="580" t="str">
        <f>IF(G22&gt;0,(INDEX('Salary &amp; Fringe'!$B$1:$B$300,MATCH("Other 5",'Salary &amp; Fringe'!$E$1:$E$300,FALSE),1)),"")</f>
        <v/>
      </c>
      <c r="C22" s="580"/>
      <c r="D22" s="251">
        <f>SUMIFS('Salary &amp; Fringe'!$P$1:'Salary &amp; Fringe'!$P$300,'Salary &amp; Fringe'!$E$1:'Salary &amp; Fringe'!$E$300,"Other 5",'Salary &amp; Fringe'!$F$1:'Salary &amp; Fringe'!$F$300,"Calendar*")+SUMIFS('Salary &amp; Fringe'!$P$1:'Salary &amp; Fringe'!$P$300,'Salary &amp; Fringe'!$E$1:'Salary &amp; Fringe'!$E$300,"Other 5",'Salary &amp; Fringe'!$F$1:'Salary &amp; Fringe'!$F$300,"Hourly")</f>
        <v>0</v>
      </c>
      <c r="E22" s="251">
        <f>SUMIFS('Salary &amp; Fringe'!$P$1:'Salary &amp; Fringe'!$P$300,'Salary &amp; Fringe'!$E$1:'Salary &amp; Fringe'!$E$300,"Other 5",'Salary &amp; Fringe'!$F$1:'Salary &amp; Fringe'!$F$300,"Academic")</f>
        <v>0</v>
      </c>
      <c r="F22" s="251">
        <f>SUMIFS('Salary &amp; Fringe'!$P$1:'Salary &amp; Fringe'!$P$300,'Salary &amp; Fringe'!$E$1:'Salary &amp; Fringe'!$E$300,"Other 5",'Salary &amp; Fringe'!$F$1:'Salary &amp; Fringe'!$F$300,"Summer")</f>
        <v>0</v>
      </c>
      <c r="G22" s="588">
        <f>SUMIF('Salary &amp; Fringe'!$E$1:$E$300,"Other 5",'Salary &amp; Fringe'!$Z$1:$Z$300)</f>
        <v>0</v>
      </c>
      <c r="H22" s="588"/>
      <c r="I22" s="588">
        <f>SUMIF('Salary &amp; Fringe'!$E$1:$E$300,"Other 5",'Salary &amp; Fringe'!$AJ$1:$AJ$300)</f>
        <v>0</v>
      </c>
      <c r="J22" s="588"/>
      <c r="K22" s="247">
        <f t="shared" si="5"/>
        <v>0</v>
      </c>
    </row>
    <row r="23" spans="1:11" s="217" customFormat="1" thickBot="1" x14ac:dyDescent="0.3">
      <c r="A23" s="234">
        <f>SUMIFS('Salary &amp; Fringe'!$I$1:$I$300,'Salary &amp; Fringe'!$E$1:$E$300,"Other 6", 'Salary &amp; Fringe'!$P$1:'Salary &amp; Fringe'!$P$300, "&gt;0")</f>
        <v>0</v>
      </c>
      <c r="B23" s="580" t="str">
        <f>IF(G23&gt;0,(INDEX('Salary &amp; Fringe'!$B$1:$B$300,MATCH("Other 6",'Salary &amp; Fringe'!$E$1:$E$300,FALSE),1)),"")</f>
        <v/>
      </c>
      <c r="C23" s="580"/>
      <c r="D23" s="251">
        <f>SUMIFS('Salary &amp; Fringe'!$P$1:'Salary &amp; Fringe'!$P$300,'Salary &amp; Fringe'!$E$1:'Salary &amp; Fringe'!$E$300,"Other 6",'Salary &amp; Fringe'!$F$1:'Salary &amp; Fringe'!$F$300,"Calendar*")+SUMIFS('Salary &amp; Fringe'!$P$1:'Salary &amp; Fringe'!$P$300,'Salary &amp; Fringe'!$E$1:'Salary &amp; Fringe'!$E$300,"Other 6",'Salary &amp; Fringe'!$F$1:'Salary &amp; Fringe'!$F$300,"Hourly")</f>
        <v>0</v>
      </c>
      <c r="E23" s="251">
        <f>SUMIFS('Salary &amp; Fringe'!$P$1:'Salary &amp; Fringe'!$P$300,'Salary &amp; Fringe'!$E$1:'Salary &amp; Fringe'!$E$300,"Other 6",'Salary &amp; Fringe'!$F$1:'Salary &amp; Fringe'!$F$300,"Academic")</f>
        <v>0</v>
      </c>
      <c r="F23" s="251">
        <f>SUMIFS('Salary &amp; Fringe'!$P$1:'Salary &amp; Fringe'!$P$300,'Salary &amp; Fringe'!$E$1:'Salary &amp; Fringe'!$E$300,"Other 6",'Salary &amp; Fringe'!$F$1:'Salary &amp; Fringe'!$F$300,"Summer")</f>
        <v>0</v>
      </c>
      <c r="G23" s="588">
        <f>SUMIF('Salary &amp; Fringe'!$E$1:$E$300,"Other 6",'Salary &amp; Fringe'!$Z$1:$Z$300)</f>
        <v>0</v>
      </c>
      <c r="H23" s="588"/>
      <c r="I23" s="588">
        <f>SUMIF('Salary &amp; Fringe'!$E$1:$E$300,"Other 6",'Salary &amp; Fringe'!$AJ$1:$AJ$300)</f>
        <v>0</v>
      </c>
      <c r="J23" s="588"/>
      <c r="K23" s="247">
        <f t="shared" si="5"/>
        <v>0</v>
      </c>
    </row>
    <row r="24" spans="1:11" s="218" customFormat="1" thickBot="1" x14ac:dyDescent="0.3">
      <c r="A24" s="237">
        <f>SUM(A14:A23)</f>
        <v>0</v>
      </c>
      <c r="B24" s="589" t="s">
        <v>376</v>
      </c>
      <c r="C24" s="590"/>
      <c r="D24" s="591"/>
      <c r="H24" s="583" t="s">
        <v>349</v>
      </c>
      <c r="I24" s="584"/>
      <c r="J24" s="585"/>
      <c r="K24" s="240">
        <f>SUM(K14:K23)</f>
        <v>0</v>
      </c>
    </row>
    <row r="25" spans="1:11" s="217" customFormat="1" thickBot="1" x14ac:dyDescent="0.3">
      <c r="A25" s="224"/>
      <c r="H25" s="583" t="s">
        <v>310</v>
      </c>
      <c r="I25" s="584"/>
      <c r="J25" s="585"/>
      <c r="K25" s="235">
        <f>K11+K24</f>
        <v>0</v>
      </c>
    </row>
    <row r="26" spans="1:11" x14ac:dyDescent="0.25">
      <c r="A26" s="126" t="s">
        <v>298</v>
      </c>
    </row>
    <row r="27" spans="1:11" x14ac:dyDescent="0.25">
      <c r="A27" s="593" t="s">
        <v>350</v>
      </c>
      <c r="B27" s="593"/>
      <c r="C27" s="593"/>
      <c r="D27" s="593"/>
      <c r="E27" s="593"/>
      <c r="F27" s="593"/>
      <c r="G27" s="593"/>
      <c r="H27" s="593"/>
      <c r="I27" s="593"/>
      <c r="J27" s="593"/>
      <c r="K27" s="249" t="s">
        <v>346</v>
      </c>
    </row>
    <row r="28" spans="1:11" s="217" customFormat="1" ht="15" x14ac:dyDescent="0.25">
      <c r="A28" s="592" t="str">
        <f>IF(ISBLANK(Budget!L47),"",Budget!A47)</f>
        <v/>
      </c>
      <c r="B28" s="592"/>
      <c r="C28" s="592"/>
      <c r="D28" s="592"/>
      <c r="E28" s="592"/>
      <c r="F28" s="592"/>
      <c r="G28" s="592"/>
      <c r="H28" s="592"/>
      <c r="I28" s="592"/>
      <c r="J28" s="592"/>
      <c r="K28" s="247">
        <f>IF(Budget!L47&gt;0,Budget!L47,0)</f>
        <v>0</v>
      </c>
    </row>
    <row r="29" spans="1:11" s="217" customFormat="1" ht="15" x14ac:dyDescent="0.25">
      <c r="A29" s="592" t="str">
        <f>IF(ISBLANK(Budget!L48),"",Budget!A48)</f>
        <v/>
      </c>
      <c r="B29" s="592"/>
      <c r="C29" s="592"/>
      <c r="D29" s="592"/>
      <c r="E29" s="592"/>
      <c r="F29" s="592"/>
      <c r="G29" s="592"/>
      <c r="H29" s="592"/>
      <c r="I29" s="592"/>
      <c r="J29" s="592"/>
      <c r="K29" s="247">
        <f>IF(Budget!L48&gt;0,Budget!L48,0)</f>
        <v>0</v>
      </c>
    </row>
    <row r="30" spans="1:11" s="217" customFormat="1" ht="15" x14ac:dyDescent="0.25">
      <c r="A30" s="592" t="str">
        <f>IF(ISBLANK(Budget!L49),"",Budget!A49)</f>
        <v/>
      </c>
      <c r="B30" s="592"/>
      <c r="C30" s="592"/>
      <c r="D30" s="592"/>
      <c r="E30" s="592"/>
      <c r="F30" s="592"/>
      <c r="G30" s="592"/>
      <c r="H30" s="592"/>
      <c r="I30" s="592"/>
      <c r="J30" s="592"/>
      <c r="K30" s="247">
        <f>IF(Budget!L49&gt;0,Budget!L49,0)</f>
        <v>0</v>
      </c>
    </row>
    <row r="31" spans="1:11" s="217" customFormat="1" ht="15" x14ac:dyDescent="0.25">
      <c r="A31" s="592" t="str">
        <f>IF(ISBLANK(Budget!L50),"",Budget!A50)</f>
        <v/>
      </c>
      <c r="B31" s="592"/>
      <c r="C31" s="592"/>
      <c r="D31" s="592"/>
      <c r="E31" s="592"/>
      <c r="F31" s="592"/>
      <c r="G31" s="592"/>
      <c r="H31" s="592"/>
      <c r="I31" s="592"/>
      <c r="J31" s="592"/>
      <c r="K31" s="247">
        <f>IF(Budget!L50&gt;0,Budget!L50,0)</f>
        <v>0</v>
      </c>
    </row>
    <row r="32" spans="1:11" s="217" customFormat="1" thickBot="1" x14ac:dyDescent="0.3">
      <c r="A32" s="592" t="str">
        <f>IF(ISBLANK(Budget!L51),"",Budget!A51)</f>
        <v/>
      </c>
      <c r="B32" s="592"/>
      <c r="C32" s="592"/>
      <c r="D32" s="592"/>
      <c r="E32" s="592"/>
      <c r="F32" s="592"/>
      <c r="G32" s="592"/>
      <c r="H32" s="592"/>
      <c r="I32" s="592"/>
      <c r="J32" s="592"/>
      <c r="K32" s="247">
        <f>IF(Budget!L51&gt;0,Budget!L51,0)</f>
        <v>0</v>
      </c>
    </row>
    <row r="33" spans="1:12" s="217" customFormat="1" thickBot="1" x14ac:dyDescent="0.3">
      <c r="J33" s="225" t="s">
        <v>58</v>
      </c>
      <c r="K33" s="235">
        <f>TotalEquipment4</f>
        <v>0</v>
      </c>
    </row>
    <row r="34" spans="1:12" s="217" customFormat="1" ht="15" x14ac:dyDescent="0.25">
      <c r="J34" s="226"/>
      <c r="K34" s="227"/>
    </row>
    <row r="35" spans="1:12" x14ac:dyDescent="0.25">
      <c r="A35" s="228" t="s">
        <v>299</v>
      </c>
      <c r="B35" s="228"/>
      <c r="C35" s="228"/>
      <c r="D35" s="228"/>
      <c r="E35" s="228"/>
      <c r="F35" s="228"/>
      <c r="G35" s="228"/>
      <c r="H35" s="228"/>
      <c r="I35" s="228"/>
      <c r="J35" s="229"/>
      <c r="K35" s="249" t="s">
        <v>346</v>
      </c>
      <c r="L35" s="221"/>
    </row>
    <row r="36" spans="1:12" s="217" customFormat="1" ht="15" x14ac:dyDescent="0.25">
      <c r="A36" s="594" t="s">
        <v>351</v>
      </c>
      <c r="B36" s="595"/>
      <c r="C36" s="595"/>
      <c r="D36" s="595"/>
      <c r="E36" s="595"/>
      <c r="F36" s="595"/>
      <c r="G36" s="595"/>
      <c r="H36" s="595"/>
      <c r="I36" s="595"/>
      <c r="J36" s="596"/>
      <c r="K36" s="238">
        <f>Budget!L39</f>
        <v>0</v>
      </c>
    </row>
    <row r="37" spans="1:12" s="217" customFormat="1" thickBot="1" x14ac:dyDescent="0.3">
      <c r="A37" s="594" t="s">
        <v>352</v>
      </c>
      <c r="B37" s="595"/>
      <c r="C37" s="595"/>
      <c r="D37" s="595"/>
      <c r="E37" s="595"/>
      <c r="F37" s="595"/>
      <c r="G37" s="595"/>
      <c r="H37" s="595"/>
      <c r="I37" s="595"/>
      <c r="J37" s="596"/>
      <c r="K37" s="238">
        <f>Budget!L44</f>
        <v>0</v>
      </c>
    </row>
    <row r="38" spans="1:12" s="217" customFormat="1" thickBot="1" x14ac:dyDescent="0.3">
      <c r="C38" s="597"/>
      <c r="D38" s="597"/>
      <c r="J38" s="248" t="s">
        <v>353</v>
      </c>
      <c r="K38" s="235">
        <f>SUM(K36:K37)</f>
        <v>0</v>
      </c>
    </row>
    <row r="39" spans="1:12" s="217" customFormat="1" ht="15" x14ac:dyDescent="0.25">
      <c r="K39" s="252"/>
    </row>
    <row r="40" spans="1:12" x14ac:dyDescent="0.25">
      <c r="A40" s="228" t="s">
        <v>300</v>
      </c>
      <c r="B40" s="228"/>
      <c r="C40" s="228"/>
      <c r="D40" s="228"/>
      <c r="E40" s="228"/>
      <c r="F40" s="228"/>
      <c r="G40" s="228"/>
      <c r="H40" s="228"/>
      <c r="I40" s="228"/>
      <c r="J40" s="229"/>
      <c r="K40" s="249" t="s">
        <v>346</v>
      </c>
      <c r="L40" s="221"/>
    </row>
    <row r="41" spans="1:12" s="217" customFormat="1" ht="15" x14ac:dyDescent="0.25">
      <c r="A41" s="592" t="s">
        <v>315</v>
      </c>
      <c r="B41" s="592"/>
      <c r="C41" s="592"/>
      <c r="D41" s="592"/>
      <c r="E41" s="592"/>
      <c r="F41" s="592"/>
      <c r="G41" s="592"/>
      <c r="H41" s="592"/>
      <c r="I41" s="592"/>
      <c r="J41" s="592"/>
      <c r="K41" s="247">
        <f>SUMIF(Budget!$A$2:$A$504,"PS Tuition/Fees/Health Insurance",Budget!$L$2:$L$504)</f>
        <v>0</v>
      </c>
    </row>
    <row r="42" spans="1:12" s="217" customFormat="1" ht="15" x14ac:dyDescent="0.25">
      <c r="A42" s="592" t="s">
        <v>316</v>
      </c>
      <c r="B42" s="592"/>
      <c r="C42" s="592"/>
      <c r="D42" s="592"/>
      <c r="E42" s="592"/>
      <c r="F42" s="592"/>
      <c r="G42" s="592"/>
      <c r="H42" s="592"/>
      <c r="I42" s="592"/>
      <c r="J42" s="592"/>
      <c r="K42" s="247">
        <f>SUMIF(Budget!$A$2:$A$504,"PS Stipends",Budget!$L$2:$L$504)</f>
        <v>0</v>
      </c>
    </row>
    <row r="43" spans="1:12" s="217" customFormat="1" ht="15" x14ac:dyDescent="0.25">
      <c r="A43" s="592" t="s">
        <v>317</v>
      </c>
      <c r="B43" s="592"/>
      <c r="C43" s="592"/>
      <c r="D43" s="592"/>
      <c r="E43" s="592"/>
      <c r="F43" s="592"/>
      <c r="G43" s="592"/>
      <c r="H43" s="592"/>
      <c r="I43" s="592"/>
      <c r="J43" s="592"/>
      <c r="K43" s="247">
        <f>SUMIF(Budget!$A$2:$A$504,"PS Travel",Budget!$L$2:$L$504)</f>
        <v>0</v>
      </c>
    </row>
    <row r="44" spans="1:12" s="217" customFormat="1" ht="15" x14ac:dyDescent="0.25">
      <c r="A44" s="592" t="s">
        <v>318</v>
      </c>
      <c r="B44" s="592"/>
      <c r="C44" s="592"/>
      <c r="D44" s="592"/>
      <c r="E44" s="592"/>
      <c r="F44" s="592"/>
      <c r="G44" s="592"/>
      <c r="H44" s="592"/>
      <c r="I44" s="592"/>
      <c r="J44" s="592"/>
      <c r="K44" s="247">
        <f>SUMIF(Budget!$A$2:$A$504,"PS Subsistence",Budget!$L$2:$L$504)</f>
        <v>0</v>
      </c>
    </row>
    <row r="45" spans="1:12" s="217" customFormat="1" thickBot="1" x14ac:dyDescent="0.3">
      <c r="A45" s="592" t="s">
        <v>319</v>
      </c>
      <c r="B45" s="599"/>
      <c r="C45" s="592"/>
      <c r="D45" s="592"/>
      <c r="E45" s="592"/>
      <c r="F45" s="592"/>
      <c r="G45" s="592"/>
      <c r="H45" s="592"/>
      <c r="I45" s="592"/>
      <c r="J45" s="592"/>
      <c r="K45" s="236">
        <f>SUMIF(Budget!$A$2:$A$504,"PS Other",Budget!$L$2:$L$504)</f>
        <v>0</v>
      </c>
    </row>
    <row r="46" spans="1:12" s="217" customFormat="1" thickBot="1" x14ac:dyDescent="0.3">
      <c r="A46" s="231" t="s">
        <v>354</v>
      </c>
      <c r="B46" s="244"/>
      <c r="C46" s="220"/>
      <c r="D46" s="220"/>
      <c r="H46" s="600" t="s">
        <v>355</v>
      </c>
      <c r="I46" s="600"/>
      <c r="J46" s="583"/>
      <c r="K46" s="235">
        <f>SUM(K41:K45)</f>
        <v>0</v>
      </c>
    </row>
    <row r="47" spans="1:12" s="217" customFormat="1" ht="15" customHeight="1" x14ac:dyDescent="0.25">
      <c r="C47" s="597"/>
      <c r="D47" s="597"/>
      <c r="K47" s="221"/>
    </row>
    <row r="48" spans="1:12" x14ac:dyDescent="0.25">
      <c r="A48" s="126" t="s">
        <v>301</v>
      </c>
      <c r="K48" s="230" t="s">
        <v>346</v>
      </c>
    </row>
    <row r="49" spans="1:12" s="217" customFormat="1" ht="15" x14ac:dyDescent="0.25">
      <c r="A49" s="601" t="s">
        <v>120</v>
      </c>
      <c r="B49" s="601"/>
      <c r="C49" s="601"/>
      <c r="D49" s="601"/>
      <c r="E49" s="601"/>
      <c r="F49" s="601"/>
      <c r="G49" s="601"/>
      <c r="H49" s="601"/>
      <c r="I49" s="601"/>
      <c r="J49" s="601"/>
      <c r="K49" s="247">
        <f>SUMIF(Budget!$A$2:$A$504,"Materials &amp; Supplies",Budget!$L$2:$L$504)</f>
        <v>0</v>
      </c>
    </row>
    <row r="50" spans="1:12" s="217" customFormat="1" ht="15" x14ac:dyDescent="0.25">
      <c r="A50" s="601" t="s">
        <v>322</v>
      </c>
      <c r="B50" s="601"/>
      <c r="C50" s="601"/>
      <c r="D50" s="601"/>
      <c r="E50" s="601"/>
      <c r="F50" s="601"/>
      <c r="G50" s="601"/>
      <c r="H50" s="601"/>
      <c r="I50" s="601"/>
      <c r="J50" s="601"/>
      <c r="K50" s="247">
        <f>SUMIF(Budget!$A$2:$A$504,"Publication Costs/Page Charges",Budget!$L$2:$L$504)</f>
        <v>0</v>
      </c>
    </row>
    <row r="51" spans="1:12" s="217" customFormat="1" ht="15" x14ac:dyDescent="0.25">
      <c r="A51" s="601" t="s">
        <v>122</v>
      </c>
      <c r="B51" s="601"/>
      <c r="C51" s="601"/>
      <c r="D51" s="601"/>
      <c r="E51" s="601"/>
      <c r="F51" s="601"/>
      <c r="G51" s="601"/>
      <c r="H51" s="601"/>
      <c r="I51" s="601"/>
      <c r="J51" s="601"/>
      <c r="K51" s="247">
        <f>SUMIF(Budget!$A$2:$A$504,"Consultant Services",Budget!$L$2:$L$504)</f>
        <v>0</v>
      </c>
    </row>
    <row r="52" spans="1:12" s="217" customFormat="1" ht="15" x14ac:dyDescent="0.25">
      <c r="A52" s="601" t="s">
        <v>323</v>
      </c>
      <c r="B52" s="601"/>
      <c r="C52" s="601"/>
      <c r="D52" s="601"/>
      <c r="E52" s="601"/>
      <c r="F52" s="601"/>
      <c r="G52" s="601"/>
      <c r="H52" s="601"/>
      <c r="I52" s="601"/>
      <c r="J52" s="601"/>
      <c r="K52" s="247">
        <f>SUMIF(Budget!$A$2:$A$504,"Computer (ADPE) Services",Budget!$L$2:$L$504)</f>
        <v>0</v>
      </c>
    </row>
    <row r="53" spans="1:12" s="217" customFormat="1" ht="15" x14ac:dyDescent="0.25">
      <c r="A53" s="601" t="s">
        <v>360</v>
      </c>
      <c r="B53" s="601"/>
      <c r="C53" s="601"/>
      <c r="D53" s="601"/>
      <c r="E53" s="601"/>
      <c r="F53" s="601"/>
      <c r="G53" s="601"/>
      <c r="H53" s="601"/>
      <c r="I53" s="601"/>
      <c r="J53" s="601"/>
      <c r="K53" s="247">
        <f ca="1">TotalSubs4+TotalMulti4+SUMIF(Budget!$A$2:$A$504,"Vendor Contract",Budget!$L$2:$L$504)+SUMIF(Budget!$A$2:$A$504,"Service Agreement",Budget!$L$2:$L$504)</f>
        <v>0</v>
      </c>
    </row>
    <row r="54" spans="1:12" s="217" customFormat="1" x14ac:dyDescent="0.25">
      <c r="A54" s="601" t="s">
        <v>325</v>
      </c>
      <c r="B54" s="601"/>
      <c r="C54" s="601"/>
      <c r="D54" s="601"/>
      <c r="E54" s="601"/>
      <c r="F54" s="601"/>
      <c r="G54" s="601"/>
      <c r="H54" s="601"/>
      <c r="I54" s="601"/>
      <c r="J54" s="601"/>
      <c r="K54" s="242">
        <f>SUMIF(Budget!$A$2:$A$504,"Other Rentals",Budget!$L$2:$L$504)+SUMIF(Budget!$A$2:$A$504,"Space Rentals",Budget!$L$2:$L$504)+SUMIF(Budget!$A$2:$A$504,"Equipment or Facility Rental/User Fees",Budget!$L$2:$L$504)</f>
        <v>0</v>
      </c>
    </row>
    <row r="55" spans="1:12" s="217" customFormat="1" ht="15" x14ac:dyDescent="0.25">
      <c r="A55" s="601" t="s">
        <v>326</v>
      </c>
      <c r="B55" s="601"/>
      <c r="C55" s="601"/>
      <c r="D55" s="601"/>
      <c r="E55" s="601"/>
      <c r="F55" s="601"/>
      <c r="G55" s="601"/>
      <c r="H55" s="601"/>
      <c r="I55" s="601"/>
      <c r="J55" s="601"/>
      <c r="K55" s="247">
        <f>SUMIF(Budget!$A$2:$A$504,"Alterations and Renovations",Budget!$L$2:$L$504)</f>
        <v>0</v>
      </c>
    </row>
    <row r="56" spans="1:12" s="217" customFormat="1" ht="15" x14ac:dyDescent="0.25">
      <c r="A56" s="598" t="s">
        <v>379</v>
      </c>
      <c r="B56" s="598"/>
      <c r="C56" s="598"/>
      <c r="D56" s="598"/>
      <c r="E56" s="598"/>
      <c r="F56" s="598"/>
      <c r="G56" s="598"/>
      <c r="H56" s="598"/>
      <c r="I56" s="598"/>
      <c r="J56" s="598"/>
      <c r="K56" s="247">
        <f>TotalGSR4</f>
        <v>0</v>
      </c>
    </row>
    <row r="57" spans="1:12" s="217" customFormat="1" ht="15" x14ac:dyDescent="0.25">
      <c r="A57" s="598" t="s">
        <v>380</v>
      </c>
      <c r="B57" s="598"/>
      <c r="C57" s="598"/>
      <c r="D57" s="598"/>
      <c r="E57" s="598"/>
      <c r="F57" s="598"/>
      <c r="G57" s="598"/>
      <c r="H57" s="598"/>
      <c r="I57" s="598"/>
      <c r="J57" s="598"/>
      <c r="K57" s="247">
        <f>SUMIF(Budget!$A$2:$A$504,"Other",Budget!$L$2:$L$504)+SUMIF(Budget!$A$2:$A$504,"Other Maintenance Fees",Budget!$L$2:$L$504)</f>
        <v>0</v>
      </c>
    </row>
    <row r="58" spans="1:12" s="217" customFormat="1" thickBot="1" x14ac:dyDescent="0.3">
      <c r="A58" s="602" t="s">
        <v>383</v>
      </c>
      <c r="B58" s="602"/>
      <c r="C58" s="602"/>
      <c r="D58" s="602"/>
      <c r="E58" s="602"/>
      <c r="F58" s="602"/>
      <c r="G58" s="602"/>
      <c r="H58" s="602"/>
      <c r="I58" s="602"/>
      <c r="J58" s="602"/>
      <c r="K58" s="236">
        <v>0</v>
      </c>
    </row>
    <row r="59" spans="1:12" s="217" customFormat="1" ht="15" customHeight="1" thickBot="1" x14ac:dyDescent="0.3">
      <c r="I59" s="600" t="s">
        <v>21</v>
      </c>
      <c r="J59" s="583"/>
      <c r="K59" s="235">
        <f ca="1">SUM(K49:K58)</f>
        <v>0</v>
      </c>
    </row>
    <row r="60" spans="1:12" s="217" customFormat="1" ht="15" x14ac:dyDescent="0.25">
      <c r="K60" s="252"/>
    </row>
    <row r="61" spans="1:12" ht="16.5" thickBot="1" x14ac:dyDescent="0.3">
      <c r="A61" s="126" t="s">
        <v>302</v>
      </c>
      <c r="K61" s="230" t="s">
        <v>346</v>
      </c>
      <c r="L61" s="221"/>
    </row>
    <row r="62" spans="1:12" s="217" customFormat="1" ht="15" customHeight="1" thickBot="1" x14ac:dyDescent="0.3">
      <c r="A62" s="583" t="s">
        <v>359</v>
      </c>
      <c r="B62" s="584"/>
      <c r="C62" s="584"/>
      <c r="D62" s="584"/>
      <c r="E62" s="584"/>
      <c r="F62" s="584"/>
      <c r="G62" s="584"/>
      <c r="H62" s="584"/>
      <c r="I62" s="584"/>
      <c r="J62" s="584"/>
      <c r="K62" s="235">
        <f ca="1">K25+K33+K38+K46+K59</f>
        <v>0</v>
      </c>
    </row>
    <row r="63" spans="1:12" s="217" customFormat="1" ht="15" x14ac:dyDescent="0.25">
      <c r="K63" s="252"/>
    </row>
    <row r="64" spans="1:12" x14ac:dyDescent="0.25">
      <c r="A64" s="126" t="s">
        <v>303</v>
      </c>
    </row>
    <row r="65" spans="1:11" s="217" customFormat="1" ht="15" x14ac:dyDescent="0.25">
      <c r="A65" s="587" t="s">
        <v>357</v>
      </c>
      <c r="B65" s="587"/>
      <c r="C65" s="587"/>
      <c r="D65" s="587"/>
      <c r="E65" s="587"/>
      <c r="F65" s="587" t="s">
        <v>358</v>
      </c>
      <c r="G65" s="587"/>
      <c r="H65" s="587"/>
      <c r="I65" s="587"/>
      <c r="J65" s="587"/>
      <c r="K65" s="249" t="s">
        <v>346</v>
      </c>
    </row>
    <row r="66" spans="1:11" s="217" customFormat="1" ht="15" x14ac:dyDescent="0.25">
      <c r="A66" s="603" t="str">
        <f>Budget!L105</f>
        <v xml:space="preserve"> </v>
      </c>
      <c r="B66" s="603"/>
      <c r="C66" s="603"/>
      <c r="D66" s="603"/>
      <c r="E66" s="603"/>
      <c r="F66" s="588">
        <f ca="1">Budget!L101</f>
        <v>0</v>
      </c>
      <c r="G66" s="588"/>
      <c r="H66" s="588"/>
      <c r="I66" s="588"/>
      <c r="J66" s="588"/>
      <c r="K66" s="247" t="e">
        <f ca="1">ROUND((A66*F66),0)</f>
        <v>#VALUE!</v>
      </c>
    </row>
    <row r="67" spans="1:11" s="217" customFormat="1" ht="15" x14ac:dyDescent="0.25">
      <c r="A67" s="577"/>
      <c r="B67" s="577"/>
      <c r="C67" s="577"/>
      <c r="D67" s="577"/>
      <c r="E67" s="577"/>
      <c r="F67" s="578"/>
      <c r="G67" s="578"/>
      <c r="H67" s="578"/>
      <c r="I67" s="578"/>
      <c r="J67" s="578"/>
      <c r="K67" s="253">
        <f t="shared" ref="K67:K69" si="6">ROUND((A67*F67),0)</f>
        <v>0</v>
      </c>
    </row>
    <row r="68" spans="1:11" s="217" customFormat="1" ht="15" x14ac:dyDescent="0.25">
      <c r="A68" s="577"/>
      <c r="B68" s="577"/>
      <c r="C68" s="577"/>
      <c r="D68" s="577"/>
      <c r="E68" s="577"/>
      <c r="F68" s="578"/>
      <c r="G68" s="578"/>
      <c r="H68" s="578"/>
      <c r="I68" s="578"/>
      <c r="J68" s="578"/>
      <c r="K68" s="253">
        <f t="shared" si="6"/>
        <v>0</v>
      </c>
    </row>
    <row r="69" spans="1:11" s="217" customFormat="1" thickBot="1" x14ac:dyDescent="0.3">
      <c r="A69" s="577"/>
      <c r="B69" s="577"/>
      <c r="C69" s="577"/>
      <c r="D69" s="577"/>
      <c r="E69" s="577"/>
      <c r="F69" s="578"/>
      <c r="G69" s="578"/>
      <c r="H69" s="578"/>
      <c r="I69" s="578"/>
      <c r="J69" s="578"/>
      <c r="K69" s="253">
        <f t="shared" si="6"/>
        <v>0</v>
      </c>
    </row>
    <row r="70" spans="1:11" s="217" customFormat="1" thickBot="1" x14ac:dyDescent="0.3">
      <c r="I70" s="583" t="s">
        <v>27</v>
      </c>
      <c r="J70" s="584"/>
      <c r="K70" s="235" t="e">
        <f ca="1">SUM(K66:K69)</f>
        <v>#VALUE!</v>
      </c>
    </row>
    <row r="71" spans="1:11" s="217" customFormat="1" ht="15" x14ac:dyDescent="0.25">
      <c r="K71" s="252"/>
    </row>
    <row r="72" spans="1:11" ht="16.5" thickBot="1" x14ac:dyDescent="0.3">
      <c r="A72" s="126" t="s">
        <v>304</v>
      </c>
      <c r="K72" s="232" t="s">
        <v>346</v>
      </c>
    </row>
    <row r="73" spans="1:11" s="217" customFormat="1" thickBot="1" x14ac:dyDescent="0.3">
      <c r="A73" s="583" t="s">
        <v>356</v>
      </c>
      <c r="B73" s="584"/>
      <c r="C73" s="584"/>
      <c r="D73" s="584"/>
      <c r="E73" s="584"/>
      <c r="F73" s="584"/>
      <c r="G73" s="584"/>
      <c r="H73" s="584"/>
      <c r="I73" s="584"/>
      <c r="J73" s="584"/>
      <c r="K73" s="235" t="e">
        <f ca="1">K62+K70</f>
        <v>#VALUE!</v>
      </c>
    </row>
    <row r="74" spans="1:11" s="217" customFormat="1" ht="15" x14ac:dyDescent="0.25">
      <c r="K74" s="252"/>
    </row>
    <row r="75" spans="1:11" ht="16.5" thickBot="1" x14ac:dyDescent="0.3">
      <c r="A75" s="126" t="s">
        <v>305</v>
      </c>
      <c r="K75" s="230" t="s">
        <v>346</v>
      </c>
    </row>
    <row r="76" spans="1:11" s="217" customFormat="1" thickBot="1" x14ac:dyDescent="0.3">
      <c r="A76" s="604"/>
      <c r="B76" s="605"/>
      <c r="C76" s="605"/>
      <c r="D76" s="605"/>
      <c r="E76" s="605"/>
      <c r="F76" s="605"/>
      <c r="G76" s="605"/>
      <c r="H76" s="605"/>
      <c r="I76" s="605"/>
      <c r="J76" s="605"/>
      <c r="K76" s="245"/>
    </row>
    <row r="78" spans="1:11" ht="16.5" thickBot="1" x14ac:dyDescent="0.3"/>
    <row r="79" spans="1:11" x14ac:dyDescent="0.25">
      <c r="A79" s="254" t="s">
        <v>364</v>
      </c>
      <c r="B79" s="255"/>
      <c r="C79" s="255"/>
      <c r="D79" s="255"/>
      <c r="E79" s="255"/>
      <c r="F79" s="255"/>
      <c r="G79" s="255"/>
      <c r="H79" s="255"/>
      <c r="I79" s="255"/>
      <c r="J79" s="255"/>
      <c r="K79" s="256"/>
    </row>
    <row r="80" spans="1:11" x14ac:dyDescent="0.25">
      <c r="A80" s="257" t="s">
        <v>369</v>
      </c>
      <c r="B80" s="258"/>
      <c r="C80" s="258"/>
      <c r="D80" s="258"/>
      <c r="E80" s="258"/>
      <c r="F80" s="258"/>
      <c r="G80" s="258"/>
      <c r="H80" s="258"/>
      <c r="I80" s="258"/>
      <c r="J80" s="258"/>
      <c r="K80" s="259"/>
    </row>
    <row r="81" spans="1:11" x14ac:dyDescent="0.25">
      <c r="A81" s="257" t="s">
        <v>368</v>
      </c>
      <c r="B81" s="258"/>
      <c r="C81" s="258"/>
      <c r="D81" s="258"/>
      <c r="E81" s="258"/>
      <c r="F81" s="258"/>
      <c r="G81" s="258"/>
      <c r="H81" s="258"/>
      <c r="I81" s="258"/>
      <c r="J81" s="258"/>
      <c r="K81" s="259"/>
    </row>
    <row r="82" spans="1:11" x14ac:dyDescent="0.25">
      <c r="A82" s="257" t="s">
        <v>385</v>
      </c>
      <c r="B82" s="258"/>
      <c r="C82" s="258"/>
      <c r="D82" s="258"/>
      <c r="E82" s="258"/>
      <c r="F82" s="258"/>
      <c r="G82" s="258"/>
      <c r="H82" s="258"/>
      <c r="I82" s="258"/>
      <c r="J82" s="258"/>
      <c r="K82" s="259"/>
    </row>
    <row r="83" spans="1:11" ht="16.5" thickBot="1" x14ac:dyDescent="0.3">
      <c r="A83" s="260" t="s">
        <v>378</v>
      </c>
      <c r="B83" s="261"/>
      <c r="C83" s="261"/>
      <c r="D83" s="261"/>
      <c r="E83" s="261"/>
      <c r="F83" s="261"/>
      <c r="G83" s="261"/>
      <c r="H83" s="261"/>
      <c r="I83" s="261"/>
      <c r="J83" s="261"/>
      <c r="K83" s="262"/>
    </row>
  </sheetData>
  <sheetProtection algorithmName="SHA-512" hashValue="y1Fj8k2KLxpubwU0OXJdb0zCjwR65TElokIbvCeKLFQzl9oDSL2Oa4DmFib9GREzwLUtMHfaXOyGV1CkDsYL5Q==" saltValue="nkP82v7nAPgHV1Am2JNimA==" spinCount="100000" sheet="1" objects="1" scenarios="1" selectLockedCells="1"/>
  <mergeCells count="79">
    <mergeCell ref="A69:E69"/>
    <mergeCell ref="F69:J69"/>
    <mergeCell ref="I70:J70"/>
    <mergeCell ref="A73:J73"/>
    <mergeCell ref="A76:J76"/>
    <mergeCell ref="A66:E66"/>
    <mergeCell ref="F66:J66"/>
    <mergeCell ref="A67:E67"/>
    <mergeCell ref="F67:J67"/>
    <mergeCell ref="A68:E68"/>
    <mergeCell ref="F68:J68"/>
    <mergeCell ref="A57:J57"/>
    <mergeCell ref="A58:J58"/>
    <mergeCell ref="I59:J59"/>
    <mergeCell ref="A62:J62"/>
    <mergeCell ref="A65:E65"/>
    <mergeCell ref="F65:J65"/>
    <mergeCell ref="A56:J56"/>
    <mergeCell ref="A44:J44"/>
    <mergeCell ref="A45:J45"/>
    <mergeCell ref="H46:J46"/>
    <mergeCell ref="C47:D47"/>
    <mergeCell ref="A49:J49"/>
    <mergeCell ref="A50:J50"/>
    <mergeCell ref="A51:J51"/>
    <mergeCell ref="A52:J52"/>
    <mergeCell ref="A53:J53"/>
    <mergeCell ref="A54:J54"/>
    <mergeCell ref="A55:J55"/>
    <mergeCell ref="A43:J43"/>
    <mergeCell ref="A27:J27"/>
    <mergeCell ref="A28:J28"/>
    <mergeCell ref="A29:J29"/>
    <mergeCell ref="A30:J30"/>
    <mergeCell ref="A31:J31"/>
    <mergeCell ref="A32:J32"/>
    <mergeCell ref="A36:J36"/>
    <mergeCell ref="A37:J37"/>
    <mergeCell ref="C38:D38"/>
    <mergeCell ref="A41:J41"/>
    <mergeCell ref="A42:J42"/>
    <mergeCell ref="H25:J25"/>
    <mergeCell ref="B21:C21"/>
    <mergeCell ref="G21:H21"/>
    <mergeCell ref="I21:J21"/>
    <mergeCell ref="B22:C22"/>
    <mergeCell ref="G22:H22"/>
    <mergeCell ref="I22:J22"/>
    <mergeCell ref="B23:C23"/>
    <mergeCell ref="G23:H23"/>
    <mergeCell ref="I23:J23"/>
    <mergeCell ref="B24:D24"/>
    <mergeCell ref="H24:J24"/>
    <mergeCell ref="B19:C19"/>
    <mergeCell ref="G19:H19"/>
    <mergeCell ref="I19:J19"/>
    <mergeCell ref="B20:C20"/>
    <mergeCell ref="G20:H20"/>
    <mergeCell ref="I20:J20"/>
    <mergeCell ref="B17:C17"/>
    <mergeCell ref="G17:H17"/>
    <mergeCell ref="I17:J17"/>
    <mergeCell ref="B18:C18"/>
    <mergeCell ref="G18:H18"/>
    <mergeCell ref="I18:J18"/>
    <mergeCell ref="B15:C15"/>
    <mergeCell ref="G15:H15"/>
    <mergeCell ref="I15:J15"/>
    <mergeCell ref="B16:C16"/>
    <mergeCell ref="G16:H16"/>
    <mergeCell ref="I16:J16"/>
    <mergeCell ref="B14:C14"/>
    <mergeCell ref="G14:H14"/>
    <mergeCell ref="I14:J14"/>
    <mergeCell ref="F10:H10"/>
    <mergeCell ref="I11:J11"/>
    <mergeCell ref="B13:C13"/>
    <mergeCell ref="G13:H13"/>
    <mergeCell ref="I13:J13"/>
  </mergeCells>
  <pageMargins left="0.75" right="0.75" top="1" bottom="1" header="0.5" footer="0.5"/>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L83"/>
  <sheetViews>
    <sheetView workbookViewId="0">
      <selection activeCell="A15" sqref="A15"/>
    </sheetView>
  </sheetViews>
  <sheetFormatPr defaultColWidth="11" defaultRowHeight="15.75" x14ac:dyDescent="0.25"/>
  <cols>
    <col min="1" max="1" width="30.875" customWidth="1"/>
    <col min="2" max="8" width="10.875" customWidth="1"/>
    <col min="9" max="9" width="14.875" customWidth="1"/>
    <col min="10" max="10" width="15" customWidth="1"/>
    <col min="11" max="11" width="14.875" style="246" customWidth="1"/>
  </cols>
  <sheetData>
    <row r="1" spans="1:11" x14ac:dyDescent="0.25">
      <c r="A1" s="126" t="s">
        <v>391</v>
      </c>
    </row>
    <row r="3" spans="1:11" x14ac:dyDescent="0.25">
      <c r="A3" s="126" t="s">
        <v>297</v>
      </c>
    </row>
    <row r="4" spans="1:11" s="221" customFormat="1" ht="15" x14ac:dyDescent="0.25">
      <c r="A4" s="250" t="s">
        <v>11</v>
      </c>
      <c r="B4" s="249" t="s">
        <v>363</v>
      </c>
      <c r="C4" s="249" t="s">
        <v>332</v>
      </c>
      <c r="D4" s="249" t="s">
        <v>333</v>
      </c>
      <c r="E4" s="249" t="s">
        <v>334</v>
      </c>
      <c r="F4" s="249" t="s">
        <v>335</v>
      </c>
      <c r="G4" s="249" t="s">
        <v>336</v>
      </c>
      <c r="H4" s="249" t="s">
        <v>337</v>
      </c>
      <c r="I4" s="249" t="s">
        <v>338</v>
      </c>
      <c r="J4" s="249" t="s">
        <v>339</v>
      </c>
      <c r="K4" s="249" t="s">
        <v>340</v>
      </c>
    </row>
    <row r="5" spans="1:11" s="217" customFormat="1" ht="15" x14ac:dyDescent="0.25">
      <c r="A5" s="222" t="str">
        <f>IF(B5&gt;0,(INDEX('Salary &amp; Fringe'!$A$1:$A$300,MATCH("Senior Person 1",'Salary &amp; Fringe'!$E$1:$E$300,FALSE),1)),"")</f>
        <v/>
      </c>
      <c r="B5" s="247">
        <f>IFERROR(IF(F5&gt;0, C5, D5+E5),0)</f>
        <v>0</v>
      </c>
      <c r="C5" s="247">
        <f>IFERROR(IF(F5&gt;0, (I5/SUM(F5:H5)*12),0),0)</f>
        <v>0</v>
      </c>
      <c r="D5" s="247">
        <f>IFERROR(IF($C5=0, (I5/SUM(F5:H5)*9),0),0)</f>
        <v>0</v>
      </c>
      <c r="E5" s="247">
        <f>IFERROR(IF($C5=0, (I5/SUM(F5:H5)*3),0),0)</f>
        <v>0</v>
      </c>
      <c r="F5" s="251">
        <f>SUMIFS('Salary &amp; Fringe'!$Q$1:'Salary &amp; Fringe'!$Q$300,'Salary &amp; Fringe'!$E$1:'Salary &amp; Fringe'!$E$300,"Senior Person 1",'Salary &amp; Fringe'!$F$1:'Salary &amp; Fringe'!$F$300,"Calendar*")</f>
        <v>0</v>
      </c>
      <c r="G5" s="251">
        <f>SUMIFS('Salary &amp; Fringe'!$Q$1:'Salary &amp; Fringe'!$Q$300,'Salary &amp; Fringe'!$E$1:'Salary &amp; Fringe'!$E$300,"Senior Person 1",'Salary &amp; Fringe'!$F$1:'Salary &amp; Fringe'!$F$300,"Academic")</f>
        <v>0</v>
      </c>
      <c r="H5" s="251">
        <f>SUMIFS('Salary &amp; Fringe'!$Q$1:'Salary &amp; Fringe'!$Q$300,'Salary &amp; Fringe'!$E$1:'Salary &amp; Fringe'!$E$300,"Senior Person 1",'Salary &amp; Fringe'!$F$1:'Salary &amp; Fringe'!$F$300,"Summer")</f>
        <v>0</v>
      </c>
      <c r="I5" s="247">
        <f>SUMIF('Salary &amp; Fringe'!$E$1:$E$300,"Senior Person 1",'Salary &amp; Fringe'!$AA$1:$AA$300)</f>
        <v>0</v>
      </c>
      <c r="J5" s="247">
        <f>SUMIF('Salary &amp; Fringe'!$E$1:$E$300,"Senior Person 1",'Salary &amp; Fringe'!$AK$1:$AK$300)</f>
        <v>0</v>
      </c>
      <c r="K5" s="247">
        <f>I5+J5</f>
        <v>0</v>
      </c>
    </row>
    <row r="6" spans="1:11" s="217" customFormat="1" ht="15" x14ac:dyDescent="0.25">
      <c r="A6" s="222" t="str">
        <f>IF(B6&gt;0,(INDEX('Salary &amp; Fringe'!$A$1:$A$300,MATCH("Senior Person 2",'Salary &amp; Fringe'!$E$1:$E$300,FALSE),1)),"")</f>
        <v/>
      </c>
      <c r="B6" s="247">
        <f t="shared" ref="B6:B9" si="0">IFERROR(IF(F6&gt;0, C6, D6+E6),0)</f>
        <v>0</v>
      </c>
      <c r="C6" s="247">
        <f t="shared" ref="C6:C9" si="1">IFERROR(IF(F6&gt;0, (I6/SUM(F6:H6)*12),0),0)</f>
        <v>0</v>
      </c>
      <c r="D6" s="247">
        <f t="shared" ref="D6:D9" si="2">IFERROR(IF($C6=0, (I6/SUM(F6:H6)*9),0),0)</f>
        <v>0</v>
      </c>
      <c r="E6" s="247">
        <f t="shared" ref="E6:E9" si="3">IFERROR(IF($C6=0, (I6/SUM(F6:H6)*3),0),0)</f>
        <v>0</v>
      </c>
      <c r="F6" s="251">
        <f>SUMIFS('Salary &amp; Fringe'!$Q$1:'Salary &amp; Fringe'!$Q$300,'Salary &amp; Fringe'!$E$1:'Salary &amp; Fringe'!$E$300,"Senior Person 2",'Salary &amp; Fringe'!$F$1:'Salary &amp; Fringe'!$F$300,"Calendar*")</f>
        <v>0</v>
      </c>
      <c r="G6" s="251">
        <f>SUMIFS('Salary &amp; Fringe'!$Q$1:'Salary &amp; Fringe'!$Q$300,'Salary &amp; Fringe'!$E$1:'Salary &amp; Fringe'!$E$300,"Senior Person 2",'Salary &amp; Fringe'!$F$1:'Salary &amp; Fringe'!$F$300,"Academic")</f>
        <v>0</v>
      </c>
      <c r="H6" s="251">
        <f>SUMIFS('Salary &amp; Fringe'!$Q$1:'Salary &amp; Fringe'!$Q$300,'Salary &amp; Fringe'!$E$1:'Salary &amp; Fringe'!$E$300,"Senior Person 2",'Salary &amp; Fringe'!$F$1:'Salary &amp; Fringe'!$F$300,"Summer")</f>
        <v>0</v>
      </c>
      <c r="I6" s="247">
        <f>SUMIF('Salary &amp; Fringe'!$E$1:$E$300,"Senior Person 2",'Salary &amp; Fringe'!$AA$1:$AA$300)</f>
        <v>0</v>
      </c>
      <c r="J6" s="247">
        <f>SUMIF('Salary &amp; Fringe'!$E$1:$E$300,"Senior Person 2",'Salary &amp; Fringe'!$AK$1:$AK$300)</f>
        <v>0</v>
      </c>
      <c r="K6" s="247">
        <f t="shared" ref="K6:K10" si="4">I6+J6</f>
        <v>0</v>
      </c>
    </row>
    <row r="7" spans="1:11" s="217" customFormat="1" ht="15" x14ac:dyDescent="0.25">
      <c r="A7" s="222" t="str">
        <f>IF(B7&gt;0,(INDEX('Salary &amp; Fringe'!$A$1:$A$300,MATCH("Senior Person 3",'Salary &amp; Fringe'!$E$1:$E$300,FALSE),1)),"")</f>
        <v/>
      </c>
      <c r="B7" s="247">
        <f t="shared" si="0"/>
        <v>0</v>
      </c>
      <c r="C7" s="247">
        <f t="shared" si="1"/>
        <v>0</v>
      </c>
      <c r="D7" s="247">
        <f t="shared" si="2"/>
        <v>0</v>
      </c>
      <c r="E7" s="247">
        <f t="shared" si="3"/>
        <v>0</v>
      </c>
      <c r="F7" s="251">
        <f>SUMIFS('Salary &amp; Fringe'!$Q$1:'Salary &amp; Fringe'!$Q$300,'Salary &amp; Fringe'!$E$1:'Salary &amp; Fringe'!$E$300,"Senior Person 3",'Salary &amp; Fringe'!$F$1:'Salary &amp; Fringe'!$F$300,"Calendar*")</f>
        <v>0</v>
      </c>
      <c r="G7" s="251">
        <f>SUMIFS('Salary &amp; Fringe'!$Q$1:'Salary &amp; Fringe'!$Q$300,'Salary &amp; Fringe'!$E$1:'Salary &amp; Fringe'!$E$300,"Senior Person 3",'Salary &amp; Fringe'!$F$1:'Salary &amp; Fringe'!$F$300,"Academic")</f>
        <v>0</v>
      </c>
      <c r="H7" s="251">
        <f>SUMIFS('Salary &amp; Fringe'!$Q$1:'Salary &amp; Fringe'!$Q$300,'Salary &amp; Fringe'!$E$1:'Salary &amp; Fringe'!$E$300,"Senior Person 3",'Salary &amp; Fringe'!$F$1:'Salary &amp; Fringe'!$F$300,"Summer")</f>
        <v>0</v>
      </c>
      <c r="I7" s="247">
        <f>SUMIF('Salary &amp; Fringe'!$E$1:$E$300,"Senior Person 3",'Salary &amp; Fringe'!$AA$1:$AA$300)</f>
        <v>0</v>
      </c>
      <c r="J7" s="247">
        <f>SUMIF('Salary &amp; Fringe'!$E$1:$E$300,"Senior Person 3",'Salary &amp; Fringe'!$AK$1:$AK$300)</f>
        <v>0</v>
      </c>
      <c r="K7" s="247">
        <f t="shared" si="4"/>
        <v>0</v>
      </c>
    </row>
    <row r="8" spans="1:11" s="217" customFormat="1" ht="15" x14ac:dyDescent="0.25">
      <c r="A8" s="222" t="str">
        <f>IF(B8&gt;0,(INDEX('Salary &amp; Fringe'!$A$1:$A$300,MATCH("Senior Person 4",'Salary &amp; Fringe'!$E$1:$E$300,FALSE),1)),"")</f>
        <v/>
      </c>
      <c r="B8" s="247">
        <f t="shared" si="0"/>
        <v>0</v>
      </c>
      <c r="C8" s="247">
        <f t="shared" si="1"/>
        <v>0</v>
      </c>
      <c r="D8" s="247">
        <f t="shared" si="2"/>
        <v>0</v>
      </c>
      <c r="E8" s="247">
        <f t="shared" si="3"/>
        <v>0</v>
      </c>
      <c r="F8" s="251">
        <f>SUMIFS('Salary &amp; Fringe'!$Q$1:'Salary &amp; Fringe'!$Q$300,'Salary &amp; Fringe'!$E$1:'Salary &amp; Fringe'!$E$300,"Senior Person 4",'Salary &amp; Fringe'!$F$1:'Salary &amp; Fringe'!$F$300,"Calendar*")</f>
        <v>0</v>
      </c>
      <c r="G8" s="251">
        <f>SUMIFS('Salary &amp; Fringe'!$Q$1:'Salary &amp; Fringe'!$Q$300,'Salary &amp; Fringe'!$E$1:'Salary &amp; Fringe'!$E$300,"Senior Person 4",'Salary &amp; Fringe'!$F$1:'Salary &amp; Fringe'!$F$300,"Academic")</f>
        <v>0</v>
      </c>
      <c r="H8" s="251">
        <f>SUMIFS('Salary &amp; Fringe'!$Q$1:'Salary &amp; Fringe'!$Q$300,'Salary &amp; Fringe'!$E$1:'Salary &amp; Fringe'!$E$300,"Senior Person 4",'Salary &amp; Fringe'!$F$1:'Salary &amp; Fringe'!$F$300,"Summer")</f>
        <v>0</v>
      </c>
      <c r="I8" s="247">
        <f>SUMIF('Salary &amp; Fringe'!$E$1:$E$300,"Senior Person 4",'Salary &amp; Fringe'!$AA$1:$AA$300)</f>
        <v>0</v>
      </c>
      <c r="J8" s="247">
        <f>SUMIF('Salary &amp; Fringe'!$E$1:$E$300,"Senior Person 4",'Salary &amp; Fringe'!$AK$1:$AK$300)</f>
        <v>0</v>
      </c>
      <c r="K8" s="247">
        <f t="shared" si="4"/>
        <v>0</v>
      </c>
    </row>
    <row r="9" spans="1:11" s="217" customFormat="1" ht="15" x14ac:dyDescent="0.25">
      <c r="A9" s="222" t="str">
        <f>IF(B9&gt;0,(INDEX('Salary &amp; Fringe'!$A$1:$A$300,MATCH("Senior Person 5",'Salary &amp; Fringe'!$E$1:$E$300,FALSE),1)),"")</f>
        <v/>
      </c>
      <c r="B9" s="247">
        <f t="shared" si="0"/>
        <v>0</v>
      </c>
      <c r="C9" s="247">
        <f t="shared" si="1"/>
        <v>0</v>
      </c>
      <c r="D9" s="247">
        <f t="shared" si="2"/>
        <v>0</v>
      </c>
      <c r="E9" s="247">
        <f t="shared" si="3"/>
        <v>0</v>
      </c>
      <c r="F9" s="251">
        <f>SUMIFS('Salary &amp; Fringe'!$Q$1:'Salary &amp; Fringe'!$Q$300,'Salary &amp; Fringe'!$E$1:'Salary &amp; Fringe'!$E$300,"Senior Person 5",'Salary &amp; Fringe'!$F$1:'Salary &amp; Fringe'!$F$300,"Calendar*")</f>
        <v>0</v>
      </c>
      <c r="G9" s="251">
        <f>SUMIFS('Salary &amp; Fringe'!$Q$1:'Salary &amp; Fringe'!$Q$300,'Salary &amp; Fringe'!$E$1:'Salary &amp; Fringe'!$E$300,"Senior Person 5",'Salary &amp; Fringe'!$F$1:'Salary &amp; Fringe'!$F$300,"Academic")</f>
        <v>0</v>
      </c>
      <c r="H9" s="251">
        <f>SUMIFS('Salary &amp; Fringe'!$Q$1:'Salary &amp; Fringe'!$Q$300,'Salary &amp; Fringe'!$E$1:'Salary &amp; Fringe'!$E$300,"Senior Person 5",'Salary &amp; Fringe'!$F$1:'Salary &amp; Fringe'!$F$300,"Summer")</f>
        <v>0</v>
      </c>
      <c r="I9" s="247">
        <f>SUMIF('Salary &amp; Fringe'!$E$1:$E$300,"Senior Person 5",'Salary &amp; Fringe'!$AA$1:$AA$300)</f>
        <v>0</v>
      </c>
      <c r="J9" s="247">
        <f>SUMIF('Salary &amp; Fringe'!$E$1:$E$300,"Senior Person 5",'Salary &amp; Fringe'!$AK$1:$AK$300)</f>
        <v>0</v>
      </c>
      <c r="K9" s="247">
        <f t="shared" si="4"/>
        <v>0</v>
      </c>
    </row>
    <row r="10" spans="1:11" s="217" customFormat="1" thickBot="1" x14ac:dyDescent="0.3">
      <c r="A10" s="224"/>
      <c r="B10" s="241"/>
      <c r="C10" s="241"/>
      <c r="D10" s="241"/>
      <c r="E10" s="241"/>
      <c r="F10" s="583" t="s">
        <v>366</v>
      </c>
      <c r="G10" s="584"/>
      <c r="H10" s="585"/>
      <c r="I10" s="247">
        <f>SUMIF('Salary &amp; Fringe'!$E$1:$E$300,"Senior (Other)",'Salary &amp; Fringe'!$AA$1:$AA$300)</f>
        <v>0</v>
      </c>
      <c r="J10" s="247">
        <f>SUMIF('Salary &amp; Fringe'!$E$1:$E$300,"Senior (Other)",'Salary &amp; Fringe'!$AK$1:$AK$300)</f>
        <v>0</v>
      </c>
      <c r="K10" s="247">
        <f t="shared" si="4"/>
        <v>0</v>
      </c>
    </row>
    <row r="11" spans="1:11" s="217" customFormat="1" thickBot="1" x14ac:dyDescent="0.3">
      <c r="I11" s="583" t="s">
        <v>361</v>
      </c>
      <c r="J11" s="586"/>
      <c r="K11" s="235">
        <f>SUM(K5:K10)</f>
        <v>0</v>
      </c>
    </row>
    <row r="12" spans="1:11" x14ac:dyDescent="0.25">
      <c r="A12" s="126" t="s">
        <v>102</v>
      </c>
    </row>
    <row r="13" spans="1:11" s="221" customFormat="1" ht="15" x14ac:dyDescent="0.25">
      <c r="A13" s="223" t="s">
        <v>341</v>
      </c>
      <c r="B13" s="587" t="s">
        <v>342</v>
      </c>
      <c r="C13" s="587"/>
      <c r="D13" s="249" t="s">
        <v>343</v>
      </c>
      <c r="E13" s="249" t="s">
        <v>344</v>
      </c>
      <c r="F13" s="249" t="s">
        <v>345</v>
      </c>
      <c r="G13" s="587" t="s">
        <v>338</v>
      </c>
      <c r="H13" s="587"/>
      <c r="I13" s="587" t="s">
        <v>339</v>
      </c>
      <c r="J13" s="587"/>
      <c r="K13" s="249" t="s">
        <v>346</v>
      </c>
    </row>
    <row r="14" spans="1:11" s="217" customFormat="1" ht="15" x14ac:dyDescent="0.25">
      <c r="A14" s="239">
        <f>SUMIFS('Salary &amp; Fringe'!$I$1:$I$300,'Salary &amp; Fringe'!$E$1:$E$300,"Postdoc", 'Salary &amp; Fringe'!$Q$1:'Salary &amp; Fringe'!$Q$300, "&gt;0")</f>
        <v>0</v>
      </c>
      <c r="B14" s="580" t="s">
        <v>103</v>
      </c>
      <c r="C14" s="580"/>
      <c r="D14" s="251">
        <f>SUMIFS('Salary &amp; Fringe'!$Q$1:'Salary &amp; Fringe'!$Q$300,'Salary &amp; Fringe'!$E$1:'Salary &amp; Fringe'!$E$300,"Postdoc",'Salary &amp; Fringe'!$F$1:'Salary &amp; Fringe'!$F$300,"Calendar*")+SUMIFS('Salary &amp; Fringe'!$Q$1:'Salary &amp; Fringe'!$Q$300,'Salary &amp; Fringe'!$E$1:'Salary &amp; Fringe'!$E$300,"Postdoc",'Salary &amp; Fringe'!$F$1:'Salary &amp; Fringe'!$F$300,"Hourly")</f>
        <v>0</v>
      </c>
      <c r="E14" s="251">
        <f>SUMIFS('Salary &amp; Fringe'!$Q$1:'Salary &amp; Fringe'!$Q$300,'Salary &amp; Fringe'!$E$1:'Salary &amp; Fringe'!$E$300,"Postdoc",'Salary &amp; Fringe'!$F$1:'Salary &amp; Fringe'!$F$300,"Academic")</f>
        <v>0</v>
      </c>
      <c r="F14" s="251">
        <f>SUMIFS('Salary &amp; Fringe'!$Q$1:'Salary &amp; Fringe'!$Q$300,'Salary &amp; Fringe'!$E$1:'Salary &amp; Fringe'!$E$300,"Postdoc",'Salary &amp; Fringe'!$F$1:'Salary &amp; Fringe'!$F$300,"Summer")</f>
        <v>0</v>
      </c>
      <c r="G14" s="581">
        <f>SUMIF('Salary &amp; Fringe'!$E$1:$E$300,"Postdoc",'Salary &amp; Fringe'!$AA$1:$AA$300)</f>
        <v>0</v>
      </c>
      <c r="H14" s="582"/>
      <c r="I14" s="581">
        <f>SUMIF('Salary &amp; Fringe'!$E$1:$E$300,"Postdoc",'Salary &amp; Fringe'!$AK$1:$AK$300)</f>
        <v>0</v>
      </c>
      <c r="J14" s="582"/>
      <c r="K14" s="247">
        <f>G14+I14</f>
        <v>0</v>
      </c>
    </row>
    <row r="15" spans="1:11" s="217" customFormat="1" ht="15" x14ac:dyDescent="0.25">
      <c r="A15" s="243"/>
      <c r="B15" s="580" t="s">
        <v>105</v>
      </c>
      <c r="C15" s="580"/>
      <c r="D15" s="251">
        <f>SUMIFS('Salary &amp; Fringe'!$Q$1:'Salary &amp; Fringe'!$Q$300,'Salary &amp; Fringe'!$E$1:'Salary &amp; Fringe'!$E$300,"Grad",'Salary &amp; Fringe'!$F$1:'Salary &amp; Fringe'!$F$300,"Calendar*")+SUMIFS('Salary &amp; Fringe'!$Q$1:'Salary &amp; Fringe'!$Q$300,'Salary &amp; Fringe'!$E$1:'Salary &amp; Fringe'!$E$300,"Grad",'Salary &amp; Fringe'!$F$1:'Salary &amp; Fringe'!$F$300,"Hourly")</f>
        <v>0</v>
      </c>
      <c r="E15" s="251">
        <f>SUMIFS('Salary &amp; Fringe'!$Q$1:'Salary &amp; Fringe'!$Q$300,'Salary &amp; Fringe'!$E$1:'Salary &amp; Fringe'!$E$300,"Grad",'Salary &amp; Fringe'!$F$1:'Salary &amp; Fringe'!$F$300,"Academic")*2</f>
        <v>0</v>
      </c>
      <c r="F15" s="251">
        <f>SUMIFS('Salary &amp; Fringe'!$Q$1:'Salary &amp; Fringe'!$Q$300,'Salary &amp; Fringe'!$E$1:'Salary &amp; Fringe'!$E$300,"Grad",'Salary &amp; Fringe'!$F$1:'Salary &amp; Fringe'!$F$300,"Summer")*2</f>
        <v>0</v>
      </c>
      <c r="G15" s="588">
        <f>SUMIF('Salary &amp; Fringe'!$E$1:$E$300,"Grad",'Salary &amp; Fringe'!$AA$1:$AA$300)</f>
        <v>0</v>
      </c>
      <c r="H15" s="588"/>
      <c r="I15" s="588">
        <f>SUMIF('Salary &amp; Fringe'!$E$1:$E$300,"Grad",'Salary &amp; Fringe'!$AK$1:$AK$300)</f>
        <v>0</v>
      </c>
      <c r="J15" s="588"/>
      <c r="K15" s="247">
        <f t="shared" ref="K15:K23" si="5">G15+I15</f>
        <v>0</v>
      </c>
    </row>
    <row r="16" spans="1:11" s="217" customFormat="1" ht="15" x14ac:dyDescent="0.25">
      <c r="A16" s="243"/>
      <c r="B16" s="580" t="s">
        <v>367</v>
      </c>
      <c r="C16" s="580"/>
      <c r="D16" s="251">
        <f>SUMIF('Salary &amp; Fringe'!$E$1:$E$300,"Undergrad",'Salary &amp; Fringe'!$Q$1:$Q$300)</f>
        <v>0</v>
      </c>
      <c r="E16" s="251">
        <v>0</v>
      </c>
      <c r="F16" s="251">
        <v>0</v>
      </c>
      <c r="G16" s="588">
        <f>SUMIF('Salary &amp; Fringe'!$E$1:$E$300,"Undergrad",'Salary &amp; Fringe'!$AA$1:$AA$300)</f>
        <v>0</v>
      </c>
      <c r="H16" s="588"/>
      <c r="I16" s="588">
        <f>SUMIF('Salary &amp; Fringe'!$E$1:$E$300,"Undergrad",'Salary &amp; Fringe'!$AK$1:$AK$300)</f>
        <v>0</v>
      </c>
      <c r="J16" s="588"/>
      <c r="K16" s="247">
        <f t="shared" si="5"/>
        <v>0</v>
      </c>
    </row>
    <row r="17" spans="1:11" s="217" customFormat="1" ht="15" x14ac:dyDescent="0.25">
      <c r="A17" s="251">
        <f>SUMIFS('Salary &amp; Fringe'!$I$1:$I$300,'Salary &amp; Fringe'!$E$1:$E$300,"Clerical", 'Salary &amp; Fringe'!$Q$1:'Salary &amp; Fringe'!$Q$300, "&gt;0")</f>
        <v>0</v>
      </c>
      <c r="B17" s="580" t="s">
        <v>348</v>
      </c>
      <c r="C17" s="580"/>
      <c r="D17" s="251">
        <f>SUMIFS('Salary &amp; Fringe'!$Q$1:'Salary &amp; Fringe'!$Q$300,'Salary &amp; Fringe'!$E$1:'Salary &amp; Fringe'!$E$300,"Clerical",'Salary &amp; Fringe'!$F$1:'Salary &amp; Fringe'!$F$300,"Calendar*")+SUMIFS('Salary &amp; Fringe'!$Q$1:'Salary &amp; Fringe'!$Q$300,'Salary &amp; Fringe'!$E$1:'Salary &amp; Fringe'!$E$300,"Clerical",'Salary &amp; Fringe'!$F$1:'Salary &amp; Fringe'!$F$300,"Hourly")</f>
        <v>0</v>
      </c>
      <c r="E17" s="251">
        <f>SUMIFS('Salary &amp; Fringe'!$Q$1:'Salary &amp; Fringe'!$Q$300,'Salary &amp; Fringe'!$E$1:'Salary &amp; Fringe'!$E$300,"Clerical",'Salary &amp; Fringe'!$F$1:'Salary &amp; Fringe'!$F$300,"Academic")</f>
        <v>0</v>
      </c>
      <c r="F17" s="251">
        <f>SUMIFS('Salary &amp; Fringe'!$Q$1:'Salary &amp; Fringe'!$Q$300,'Salary &amp; Fringe'!$E$1:'Salary &amp; Fringe'!$E$300,"Clerical",'Salary &amp; Fringe'!$F$1:'Salary &amp; Fringe'!$F$300,"Summer")</f>
        <v>0</v>
      </c>
      <c r="G17" s="588">
        <f>SUMIF('Salary &amp; Fringe'!$E$1:$E$300,"Clerical",'Salary &amp; Fringe'!$AA$1:$AA$300)</f>
        <v>0</v>
      </c>
      <c r="H17" s="588"/>
      <c r="I17" s="588">
        <f>SUMIF('Salary &amp; Fringe'!$E$1:$E$300,"Clerical",'Salary &amp; Fringe'!$AK$1:$AK$300)</f>
        <v>0</v>
      </c>
      <c r="J17" s="588"/>
      <c r="K17" s="247">
        <f t="shared" si="5"/>
        <v>0</v>
      </c>
    </row>
    <row r="18" spans="1:11" s="217" customFormat="1" ht="15" x14ac:dyDescent="0.25">
      <c r="A18" s="251">
        <f>SUMIFS('Salary &amp; Fringe'!$I$1:$I$300,'Salary &amp; Fringe'!$E$1:$E$300,"Other 1", 'Salary &amp; Fringe'!$Q$1:'Salary &amp; Fringe'!$Q$300, "&gt;0")</f>
        <v>0</v>
      </c>
      <c r="B18" s="580" t="str">
        <f>IF(G18&gt;0,(INDEX('Salary &amp; Fringe'!$B$1:$B$300,MATCH("Other 1",'Salary &amp; Fringe'!$E$1:$E$300,FALSE),1)),"")</f>
        <v/>
      </c>
      <c r="C18" s="580"/>
      <c r="D18" s="251">
        <f>SUMIFS('Salary &amp; Fringe'!$Q$1:'Salary &amp; Fringe'!$Q$300,'Salary &amp; Fringe'!$E$1:'Salary &amp; Fringe'!$E$300,"Other 1",'Salary &amp; Fringe'!$F$1:'Salary &amp; Fringe'!$F$300,"Calendar*")+SUMIFS('Salary &amp; Fringe'!$Q$1:'Salary &amp; Fringe'!$Q$300,'Salary &amp; Fringe'!$E$1:'Salary &amp; Fringe'!$E$300,"Other 1",'Salary &amp; Fringe'!$F$1:'Salary &amp; Fringe'!$F$300,"Hourly")</f>
        <v>0</v>
      </c>
      <c r="E18" s="251">
        <f>SUMIFS('Salary &amp; Fringe'!$Q$1:'Salary &amp; Fringe'!$Q$300,'Salary &amp; Fringe'!$E$1:'Salary &amp; Fringe'!$E$300,"Other 1",'Salary &amp; Fringe'!$F$1:'Salary &amp; Fringe'!$F$300,"Academic")</f>
        <v>0</v>
      </c>
      <c r="F18" s="251">
        <f>SUMIFS('Salary &amp; Fringe'!$Q$1:'Salary &amp; Fringe'!$Q$300,'Salary &amp; Fringe'!$E$1:'Salary &amp; Fringe'!$E$300,"Other 1",'Salary &amp; Fringe'!$F$1:'Salary &amp; Fringe'!$F$300,"Summer")</f>
        <v>0</v>
      </c>
      <c r="G18" s="588">
        <f>SUMIF('Salary &amp; Fringe'!$E$1:$E$300,"Other 1",'Salary &amp; Fringe'!$AA$1:$AA$300)</f>
        <v>0</v>
      </c>
      <c r="H18" s="588"/>
      <c r="I18" s="588">
        <f>SUMIF('Salary &amp; Fringe'!$E$1:$E$300,"Other 1",'Salary &amp; Fringe'!$AK$1:$AK$300)</f>
        <v>0</v>
      </c>
      <c r="J18" s="588"/>
      <c r="K18" s="247">
        <f t="shared" si="5"/>
        <v>0</v>
      </c>
    </row>
    <row r="19" spans="1:11" s="217" customFormat="1" ht="15" x14ac:dyDescent="0.25">
      <c r="A19" s="251">
        <f>SUMIFS('Salary &amp; Fringe'!$I$1:$I$300,'Salary &amp; Fringe'!$E$1:$E$300,"Other 2", 'Salary &amp; Fringe'!$Q$1:'Salary &amp; Fringe'!$Q$300, "&gt;0")</f>
        <v>0</v>
      </c>
      <c r="B19" s="580" t="str">
        <f>IF(G19&gt;0,(INDEX('Salary &amp; Fringe'!$B$1:$B$300,MATCH("Other 2",'Salary &amp; Fringe'!$E$1:$E$300,FALSE),1)),"")</f>
        <v/>
      </c>
      <c r="C19" s="580"/>
      <c r="D19" s="251">
        <f>SUMIFS('Salary &amp; Fringe'!$Q$1:'Salary &amp; Fringe'!$Q$300,'Salary &amp; Fringe'!$E$1:'Salary &amp; Fringe'!$E$300,"Other 2",'Salary &amp; Fringe'!$F$1:'Salary &amp; Fringe'!$F$300,"Calendar*")+SUMIFS('Salary &amp; Fringe'!$Q$1:'Salary &amp; Fringe'!$Q$300,'Salary &amp; Fringe'!$E$1:'Salary &amp; Fringe'!$E$300,"Other 2",'Salary &amp; Fringe'!$F$1:'Salary &amp; Fringe'!$F$300,"Hourly")</f>
        <v>0</v>
      </c>
      <c r="E19" s="251">
        <f>SUMIFS('Salary &amp; Fringe'!$Q$1:'Salary &amp; Fringe'!$Q$300,'Salary &amp; Fringe'!$E$1:'Salary &amp; Fringe'!$E$300,"Other 2",'Salary &amp; Fringe'!$F$1:'Salary &amp; Fringe'!$F$300,"Academic")</f>
        <v>0</v>
      </c>
      <c r="F19" s="251">
        <f>SUMIFS('Salary &amp; Fringe'!$Q$1:'Salary &amp; Fringe'!$Q$300,'Salary &amp; Fringe'!$E$1:'Salary &amp; Fringe'!$E$300,"Other 2",'Salary &amp; Fringe'!$F$1:'Salary &amp; Fringe'!$F$300,"Summer")</f>
        <v>0</v>
      </c>
      <c r="G19" s="588">
        <f>SUMIF('Salary &amp; Fringe'!$E$1:$E$300,"Other 2",'Salary &amp; Fringe'!$AA$1:$AA$300)</f>
        <v>0</v>
      </c>
      <c r="H19" s="588"/>
      <c r="I19" s="588">
        <f>SUMIF('Salary &amp; Fringe'!$E$1:$E$300,"Other 2",'Salary &amp; Fringe'!$AK$1:$AK$300)</f>
        <v>0</v>
      </c>
      <c r="J19" s="588"/>
      <c r="K19" s="247">
        <f t="shared" si="5"/>
        <v>0</v>
      </c>
    </row>
    <row r="20" spans="1:11" s="217" customFormat="1" ht="15" x14ac:dyDescent="0.25">
      <c r="A20" s="251">
        <f>SUMIFS('Salary &amp; Fringe'!$I$1:$I$300,'Salary &amp; Fringe'!$E$1:$E$300,"Other 3", 'Salary &amp; Fringe'!$Q$1:'Salary &amp; Fringe'!$Q$300, "&gt;0")</f>
        <v>0</v>
      </c>
      <c r="B20" s="580" t="str">
        <f>IF(G20&gt;0,(INDEX('Salary &amp; Fringe'!$B$1:$B$300,MATCH("Other 3",'Salary &amp; Fringe'!$E$1:$E$300,FALSE),1)),"")</f>
        <v/>
      </c>
      <c r="C20" s="580"/>
      <c r="D20" s="251">
        <f>SUMIFS('Salary &amp; Fringe'!$Q$1:'Salary &amp; Fringe'!$Q$300,'Salary &amp; Fringe'!$E$1:'Salary &amp; Fringe'!$E$300,"Other 3",'Salary &amp; Fringe'!$F$1:'Salary &amp; Fringe'!$F$300,"Calendar*")+SUMIFS('Salary &amp; Fringe'!$Q$1:'Salary &amp; Fringe'!$Q$300,'Salary &amp; Fringe'!$E$1:'Salary &amp; Fringe'!$E$300,"Other 3",'Salary &amp; Fringe'!$F$1:'Salary &amp; Fringe'!$F$300,"Hourly")</f>
        <v>0</v>
      </c>
      <c r="E20" s="251">
        <f>SUMIFS('Salary &amp; Fringe'!$Q$1:'Salary &amp; Fringe'!$Q$300,'Salary &amp; Fringe'!$E$1:'Salary &amp; Fringe'!$E$300,"Other 3",'Salary &amp; Fringe'!$F$1:'Salary &amp; Fringe'!$F$300,"Academic")</f>
        <v>0</v>
      </c>
      <c r="F20" s="251">
        <f>SUMIFS('Salary &amp; Fringe'!$Q$1:'Salary &amp; Fringe'!$Q$300,'Salary &amp; Fringe'!$E$1:'Salary &amp; Fringe'!$E$300,"Other 3",'Salary &amp; Fringe'!$F$1:'Salary &amp; Fringe'!$F$300,"Summer")</f>
        <v>0</v>
      </c>
      <c r="G20" s="588">
        <f>SUMIF('Salary &amp; Fringe'!$E$1:$E$300,"Other 3",'Salary &amp; Fringe'!$AA$1:$AA$300)</f>
        <v>0</v>
      </c>
      <c r="H20" s="588"/>
      <c r="I20" s="588">
        <f>SUMIF('Salary &amp; Fringe'!$E$1:$E$300,"Other 3",'Salary &amp; Fringe'!$AK$1:$AK$300)</f>
        <v>0</v>
      </c>
      <c r="J20" s="588"/>
      <c r="K20" s="247">
        <f t="shared" si="5"/>
        <v>0</v>
      </c>
    </row>
    <row r="21" spans="1:11" s="217" customFormat="1" ht="15" x14ac:dyDescent="0.25">
      <c r="A21" s="251">
        <f>SUMIFS('Salary &amp; Fringe'!$I$1:$I$300,'Salary &amp; Fringe'!$E$1:$E$300,"Other 4", 'Salary &amp; Fringe'!$Q$1:'Salary &amp; Fringe'!$Q$300, "&gt;0")</f>
        <v>0</v>
      </c>
      <c r="B21" s="580" t="str">
        <f>IF(G21&gt;0,(INDEX('Salary &amp; Fringe'!$B$1:$B$300,MATCH("Other 4",'Salary &amp; Fringe'!$E$1:$E$300,FALSE),1)),"")</f>
        <v/>
      </c>
      <c r="C21" s="580"/>
      <c r="D21" s="251">
        <f>SUMIFS('Salary &amp; Fringe'!$Q$1:'Salary &amp; Fringe'!$Q$300,'Salary &amp; Fringe'!$E$1:'Salary &amp; Fringe'!$E$300,"Other 4",'Salary &amp; Fringe'!$F$1:'Salary &amp; Fringe'!$F$300,"Calendar*")+SUMIFS('Salary &amp; Fringe'!$Q$1:'Salary &amp; Fringe'!$Q$300,'Salary &amp; Fringe'!$E$1:'Salary &amp; Fringe'!$E$300,"Other 4",'Salary &amp; Fringe'!$F$1:'Salary &amp; Fringe'!$F$300,"Hourly")</f>
        <v>0</v>
      </c>
      <c r="E21" s="251">
        <f>SUMIFS('Salary &amp; Fringe'!$Q$1:'Salary &amp; Fringe'!$Q$300,'Salary &amp; Fringe'!$E$1:'Salary &amp; Fringe'!$E$300,"Other 4",'Salary &amp; Fringe'!$F$1:'Salary &amp; Fringe'!$F$300,"Academic")</f>
        <v>0</v>
      </c>
      <c r="F21" s="251">
        <f>SUMIFS('Salary &amp; Fringe'!$Q$1:'Salary &amp; Fringe'!$Q$300,'Salary &amp; Fringe'!$E$1:'Salary &amp; Fringe'!$E$300,"Other 4",'Salary &amp; Fringe'!$F$1:'Salary &amp; Fringe'!$F$300,"Summer")</f>
        <v>0</v>
      </c>
      <c r="G21" s="588">
        <f>SUMIF('Salary &amp; Fringe'!$E$1:$E$300,"Other 4",'Salary &amp; Fringe'!$AA$1:$AA$300)</f>
        <v>0</v>
      </c>
      <c r="H21" s="588"/>
      <c r="I21" s="588">
        <f>SUMIF('Salary &amp; Fringe'!$E$1:$E$300,"Other 4",'Salary &amp; Fringe'!$AK$1:$AK$300)</f>
        <v>0</v>
      </c>
      <c r="J21" s="588"/>
      <c r="K21" s="247">
        <f t="shared" si="5"/>
        <v>0</v>
      </c>
    </row>
    <row r="22" spans="1:11" s="217" customFormat="1" ht="15" x14ac:dyDescent="0.25">
      <c r="A22" s="251">
        <f>SUMIFS('Salary &amp; Fringe'!$I$1:$I$300,'Salary &amp; Fringe'!$E$1:$E$300,"Other 5", 'Salary &amp; Fringe'!$Q$1:'Salary &amp; Fringe'!$Q$300, "&gt;0")</f>
        <v>0</v>
      </c>
      <c r="B22" s="580" t="str">
        <f>IF(G22&gt;0,(INDEX('Salary &amp; Fringe'!$B$1:$B$300,MATCH("Other 5",'Salary &amp; Fringe'!$E$1:$E$300,FALSE),1)),"")</f>
        <v/>
      </c>
      <c r="C22" s="580"/>
      <c r="D22" s="251">
        <f>SUMIFS('Salary &amp; Fringe'!$Q$1:'Salary &amp; Fringe'!$Q$300,'Salary &amp; Fringe'!$E$1:'Salary &amp; Fringe'!$E$300,"Other 5",'Salary &amp; Fringe'!$F$1:'Salary &amp; Fringe'!$F$300,"Calendar*")+SUMIFS('Salary &amp; Fringe'!$Q$1:'Salary &amp; Fringe'!$Q$300,'Salary &amp; Fringe'!$E$1:'Salary &amp; Fringe'!$E$300,"Other 5",'Salary &amp; Fringe'!$F$1:'Salary &amp; Fringe'!$F$300,"Hourly")</f>
        <v>0</v>
      </c>
      <c r="E22" s="251">
        <f>SUMIFS('Salary &amp; Fringe'!$Q$1:'Salary &amp; Fringe'!$Q$300,'Salary &amp; Fringe'!$E$1:'Salary &amp; Fringe'!$E$300,"Other 5",'Salary &amp; Fringe'!$F$1:'Salary &amp; Fringe'!$F$300,"Academic")</f>
        <v>0</v>
      </c>
      <c r="F22" s="251">
        <f>SUMIFS('Salary &amp; Fringe'!$Q$1:'Salary &amp; Fringe'!$Q$300,'Salary &amp; Fringe'!$E$1:'Salary &amp; Fringe'!$E$300,"Other 5",'Salary &amp; Fringe'!$F$1:'Salary &amp; Fringe'!$F$300,"Summer")</f>
        <v>0</v>
      </c>
      <c r="G22" s="588">
        <f>SUMIF('Salary &amp; Fringe'!$E$1:$E$300,"Other 5",'Salary &amp; Fringe'!$AA$1:$AA$300)</f>
        <v>0</v>
      </c>
      <c r="H22" s="588"/>
      <c r="I22" s="588">
        <f>SUMIF('Salary &amp; Fringe'!$E$1:$E$300,"Other 5",'Salary &amp; Fringe'!$AK$1:$AK$300)</f>
        <v>0</v>
      </c>
      <c r="J22" s="588"/>
      <c r="K22" s="247">
        <f t="shared" si="5"/>
        <v>0</v>
      </c>
    </row>
    <row r="23" spans="1:11" s="217" customFormat="1" thickBot="1" x14ac:dyDescent="0.3">
      <c r="A23" s="234">
        <f>SUMIFS('Salary &amp; Fringe'!$I$1:$I$300,'Salary &amp; Fringe'!$E$1:$E$300,"Other 6", 'Salary &amp; Fringe'!$Q$1:'Salary &amp; Fringe'!$Q$300, "&gt;0")</f>
        <v>0</v>
      </c>
      <c r="B23" s="580" t="str">
        <f>IF(G23&gt;0,(INDEX('Salary &amp; Fringe'!$B$1:$B$300,MATCH("Other 6",'Salary &amp; Fringe'!$E$1:$E$300,FALSE),1)),"")</f>
        <v/>
      </c>
      <c r="C23" s="580"/>
      <c r="D23" s="251">
        <f>SUMIFS('Salary &amp; Fringe'!$Q$1:'Salary &amp; Fringe'!$Q$300,'Salary &amp; Fringe'!$E$1:'Salary &amp; Fringe'!$E$300,"Other 6",'Salary &amp; Fringe'!$F$1:'Salary &amp; Fringe'!$F$300,"Calendar*")+SUMIFS('Salary &amp; Fringe'!$Q$1:'Salary &amp; Fringe'!$Q$300,'Salary &amp; Fringe'!$E$1:'Salary &amp; Fringe'!$E$300,"Other 6",'Salary &amp; Fringe'!$F$1:'Salary &amp; Fringe'!$F$300,"Hourly")</f>
        <v>0</v>
      </c>
      <c r="E23" s="251">
        <f>SUMIFS('Salary &amp; Fringe'!$Q$1:'Salary &amp; Fringe'!$Q$300,'Salary &amp; Fringe'!$E$1:'Salary &amp; Fringe'!$E$300,"Other 6",'Salary &amp; Fringe'!$F$1:'Salary &amp; Fringe'!$F$300,"Academic")</f>
        <v>0</v>
      </c>
      <c r="F23" s="251">
        <f>SUMIFS('Salary &amp; Fringe'!$Q$1:'Salary &amp; Fringe'!$Q$300,'Salary &amp; Fringe'!$E$1:'Salary &amp; Fringe'!$E$300,"Other 6",'Salary &amp; Fringe'!$F$1:'Salary &amp; Fringe'!$F$300,"Summer")</f>
        <v>0</v>
      </c>
      <c r="G23" s="588">
        <f>SUMIF('Salary &amp; Fringe'!$E$1:$E$300,"Other 6",'Salary &amp; Fringe'!$AA$1:$AA$300)</f>
        <v>0</v>
      </c>
      <c r="H23" s="588"/>
      <c r="I23" s="588">
        <f>SUMIF('Salary &amp; Fringe'!$E$1:$E$300,"Other 6",'Salary &amp; Fringe'!$AK$1:$AK$300)</f>
        <v>0</v>
      </c>
      <c r="J23" s="588"/>
      <c r="K23" s="247">
        <f t="shared" si="5"/>
        <v>0</v>
      </c>
    </row>
    <row r="24" spans="1:11" s="218" customFormat="1" thickBot="1" x14ac:dyDescent="0.3">
      <c r="A24" s="237">
        <f>SUM(A14:A23)</f>
        <v>0</v>
      </c>
      <c r="B24" s="589" t="s">
        <v>376</v>
      </c>
      <c r="C24" s="590"/>
      <c r="D24" s="591"/>
      <c r="H24" s="583" t="s">
        <v>349</v>
      </c>
      <c r="I24" s="584"/>
      <c r="J24" s="585"/>
      <c r="K24" s="240">
        <f>SUM(K14:K23)</f>
        <v>0</v>
      </c>
    </row>
    <row r="25" spans="1:11" s="217" customFormat="1" thickBot="1" x14ac:dyDescent="0.3">
      <c r="A25" s="224"/>
      <c r="H25" s="583" t="s">
        <v>310</v>
      </c>
      <c r="I25" s="584"/>
      <c r="J25" s="585"/>
      <c r="K25" s="235">
        <f>K11+K24</f>
        <v>0</v>
      </c>
    </row>
    <row r="26" spans="1:11" x14ac:dyDescent="0.25">
      <c r="A26" s="126" t="s">
        <v>298</v>
      </c>
    </row>
    <row r="27" spans="1:11" x14ac:dyDescent="0.25">
      <c r="A27" s="593" t="s">
        <v>350</v>
      </c>
      <c r="B27" s="593"/>
      <c r="C27" s="593"/>
      <c r="D27" s="593"/>
      <c r="E27" s="593"/>
      <c r="F27" s="593"/>
      <c r="G27" s="593"/>
      <c r="H27" s="593"/>
      <c r="I27" s="593"/>
      <c r="J27" s="593"/>
      <c r="K27" s="249" t="s">
        <v>346</v>
      </c>
    </row>
    <row r="28" spans="1:11" s="217" customFormat="1" ht="15" x14ac:dyDescent="0.25">
      <c r="A28" s="592" t="str">
        <f>IF(ISBLANK(Budget!N47),"",Budget!A47)</f>
        <v/>
      </c>
      <c r="B28" s="592"/>
      <c r="C28" s="592"/>
      <c r="D28" s="592"/>
      <c r="E28" s="592"/>
      <c r="F28" s="592"/>
      <c r="G28" s="592"/>
      <c r="H28" s="592"/>
      <c r="I28" s="592"/>
      <c r="J28" s="592"/>
      <c r="K28" s="247">
        <f>IF(Budget!N47&gt;0,Budget!N47,0)</f>
        <v>0</v>
      </c>
    </row>
    <row r="29" spans="1:11" s="217" customFormat="1" ht="15" x14ac:dyDescent="0.25">
      <c r="A29" s="592" t="str">
        <f>IF(ISBLANK(Budget!N48),"",Budget!A48)</f>
        <v/>
      </c>
      <c r="B29" s="592"/>
      <c r="C29" s="592"/>
      <c r="D29" s="592"/>
      <c r="E29" s="592"/>
      <c r="F29" s="592"/>
      <c r="G29" s="592"/>
      <c r="H29" s="592"/>
      <c r="I29" s="592"/>
      <c r="J29" s="592"/>
      <c r="K29" s="247">
        <f>IF(Budget!N48&gt;0,Budget!N48,0)</f>
        <v>0</v>
      </c>
    </row>
    <row r="30" spans="1:11" s="217" customFormat="1" ht="15" x14ac:dyDescent="0.25">
      <c r="A30" s="592" t="str">
        <f>IF(ISBLANK(Budget!N49),"",Budget!A49)</f>
        <v/>
      </c>
      <c r="B30" s="592"/>
      <c r="C30" s="592"/>
      <c r="D30" s="592"/>
      <c r="E30" s="592"/>
      <c r="F30" s="592"/>
      <c r="G30" s="592"/>
      <c r="H30" s="592"/>
      <c r="I30" s="592"/>
      <c r="J30" s="592"/>
      <c r="K30" s="247">
        <f>IF(Budget!N49&gt;0,Budget!N49,0)</f>
        <v>0</v>
      </c>
    </row>
    <row r="31" spans="1:11" s="217" customFormat="1" ht="15" x14ac:dyDescent="0.25">
      <c r="A31" s="592" t="str">
        <f>IF(ISBLANK(Budget!N50),"",Budget!A50)</f>
        <v/>
      </c>
      <c r="B31" s="592"/>
      <c r="C31" s="592"/>
      <c r="D31" s="592"/>
      <c r="E31" s="592"/>
      <c r="F31" s="592"/>
      <c r="G31" s="592"/>
      <c r="H31" s="592"/>
      <c r="I31" s="592"/>
      <c r="J31" s="592"/>
      <c r="K31" s="247">
        <f>IF(Budget!N50&gt;0,Budget!N50,0)</f>
        <v>0</v>
      </c>
    </row>
    <row r="32" spans="1:11" s="217" customFormat="1" thickBot="1" x14ac:dyDescent="0.3">
      <c r="A32" s="592" t="str">
        <f>IF(ISBLANK(Budget!N51),"",Budget!A51)</f>
        <v/>
      </c>
      <c r="B32" s="592"/>
      <c r="C32" s="592"/>
      <c r="D32" s="592"/>
      <c r="E32" s="592"/>
      <c r="F32" s="592"/>
      <c r="G32" s="592"/>
      <c r="H32" s="592"/>
      <c r="I32" s="592"/>
      <c r="J32" s="592"/>
      <c r="K32" s="247">
        <f>IF(Budget!N51&gt;0,Budget!N51,0)</f>
        <v>0</v>
      </c>
    </row>
    <row r="33" spans="1:12" s="217" customFormat="1" thickBot="1" x14ac:dyDescent="0.3">
      <c r="J33" s="225" t="s">
        <v>58</v>
      </c>
      <c r="K33" s="235">
        <f>TotalEquipment5</f>
        <v>0</v>
      </c>
    </row>
    <row r="34" spans="1:12" s="217" customFormat="1" ht="15" x14ac:dyDescent="0.25">
      <c r="J34" s="226"/>
      <c r="K34" s="227"/>
    </row>
    <row r="35" spans="1:12" x14ac:dyDescent="0.25">
      <c r="A35" s="228" t="s">
        <v>299</v>
      </c>
      <c r="B35" s="228"/>
      <c r="C35" s="228"/>
      <c r="D35" s="228"/>
      <c r="E35" s="228"/>
      <c r="F35" s="228"/>
      <c r="G35" s="228"/>
      <c r="H35" s="228"/>
      <c r="I35" s="228"/>
      <c r="J35" s="229"/>
      <c r="K35" s="249" t="s">
        <v>346</v>
      </c>
      <c r="L35" s="221"/>
    </row>
    <row r="36" spans="1:12" s="217" customFormat="1" ht="15" x14ac:dyDescent="0.25">
      <c r="A36" s="594" t="s">
        <v>351</v>
      </c>
      <c r="B36" s="595"/>
      <c r="C36" s="595"/>
      <c r="D36" s="595"/>
      <c r="E36" s="595"/>
      <c r="F36" s="595"/>
      <c r="G36" s="595"/>
      <c r="H36" s="595"/>
      <c r="I36" s="595"/>
      <c r="J36" s="596"/>
      <c r="K36" s="238">
        <f>Budget!N39</f>
        <v>0</v>
      </c>
    </row>
    <row r="37" spans="1:12" s="217" customFormat="1" thickBot="1" x14ac:dyDescent="0.3">
      <c r="A37" s="594" t="s">
        <v>352</v>
      </c>
      <c r="B37" s="595"/>
      <c r="C37" s="595"/>
      <c r="D37" s="595"/>
      <c r="E37" s="595"/>
      <c r="F37" s="595"/>
      <c r="G37" s="595"/>
      <c r="H37" s="595"/>
      <c r="I37" s="595"/>
      <c r="J37" s="596"/>
      <c r="K37" s="238">
        <f>Budget!N44</f>
        <v>0</v>
      </c>
    </row>
    <row r="38" spans="1:12" s="217" customFormat="1" thickBot="1" x14ac:dyDescent="0.3">
      <c r="C38" s="597"/>
      <c r="D38" s="597"/>
      <c r="J38" s="248" t="s">
        <v>353</v>
      </c>
      <c r="K38" s="235">
        <f>SUM(K36:K37)</f>
        <v>0</v>
      </c>
    </row>
    <row r="39" spans="1:12" s="217" customFormat="1" ht="15" x14ac:dyDescent="0.25">
      <c r="K39" s="252"/>
    </row>
    <row r="40" spans="1:12" x14ac:dyDescent="0.25">
      <c r="A40" s="228" t="s">
        <v>300</v>
      </c>
      <c r="B40" s="228"/>
      <c r="C40" s="228"/>
      <c r="D40" s="228"/>
      <c r="E40" s="228"/>
      <c r="F40" s="228"/>
      <c r="G40" s="228"/>
      <c r="H40" s="228"/>
      <c r="I40" s="228"/>
      <c r="J40" s="229"/>
      <c r="K40" s="249" t="s">
        <v>346</v>
      </c>
      <c r="L40" s="221"/>
    </row>
    <row r="41" spans="1:12" s="217" customFormat="1" ht="15" x14ac:dyDescent="0.25">
      <c r="A41" s="592" t="s">
        <v>315</v>
      </c>
      <c r="B41" s="592"/>
      <c r="C41" s="592"/>
      <c r="D41" s="592"/>
      <c r="E41" s="592"/>
      <c r="F41" s="592"/>
      <c r="G41" s="592"/>
      <c r="H41" s="592"/>
      <c r="I41" s="592"/>
      <c r="J41" s="592"/>
      <c r="K41" s="247">
        <f>SUMIF(Budget!$A$2:$A$504,"PS Tuition/Fees/Health Insurance",Budget!$N$2:$N$504)</f>
        <v>0</v>
      </c>
    </row>
    <row r="42" spans="1:12" s="217" customFormat="1" ht="15" x14ac:dyDescent="0.25">
      <c r="A42" s="592" t="s">
        <v>316</v>
      </c>
      <c r="B42" s="592"/>
      <c r="C42" s="592"/>
      <c r="D42" s="592"/>
      <c r="E42" s="592"/>
      <c r="F42" s="592"/>
      <c r="G42" s="592"/>
      <c r="H42" s="592"/>
      <c r="I42" s="592"/>
      <c r="J42" s="592"/>
      <c r="K42" s="247">
        <f>SUMIF(Budget!$A$2:$A$504,"PS Stipends",Budget!$N$2:$N$504)</f>
        <v>0</v>
      </c>
    </row>
    <row r="43" spans="1:12" s="217" customFormat="1" ht="15" x14ac:dyDescent="0.25">
      <c r="A43" s="592" t="s">
        <v>317</v>
      </c>
      <c r="B43" s="592"/>
      <c r="C43" s="592"/>
      <c r="D43" s="592"/>
      <c r="E43" s="592"/>
      <c r="F43" s="592"/>
      <c r="G43" s="592"/>
      <c r="H43" s="592"/>
      <c r="I43" s="592"/>
      <c r="J43" s="592"/>
      <c r="K43" s="247">
        <f>SUMIF(Budget!$A$2:$A$504,"PS Travel",Budget!$N$2:$N$504)</f>
        <v>0</v>
      </c>
    </row>
    <row r="44" spans="1:12" s="217" customFormat="1" ht="15" x14ac:dyDescent="0.25">
      <c r="A44" s="592" t="s">
        <v>318</v>
      </c>
      <c r="B44" s="592"/>
      <c r="C44" s="592"/>
      <c r="D44" s="592"/>
      <c r="E44" s="592"/>
      <c r="F44" s="592"/>
      <c r="G44" s="592"/>
      <c r="H44" s="592"/>
      <c r="I44" s="592"/>
      <c r="J44" s="592"/>
      <c r="K44" s="247">
        <f>SUMIF(Budget!$A$2:$A$504,"PS Subsistence",Budget!$N$2:$N$504)</f>
        <v>0</v>
      </c>
    </row>
    <row r="45" spans="1:12" s="217" customFormat="1" thickBot="1" x14ac:dyDescent="0.3">
      <c r="A45" s="592" t="s">
        <v>319</v>
      </c>
      <c r="B45" s="599"/>
      <c r="C45" s="592"/>
      <c r="D45" s="592"/>
      <c r="E45" s="592"/>
      <c r="F45" s="592"/>
      <c r="G45" s="592"/>
      <c r="H45" s="592"/>
      <c r="I45" s="592"/>
      <c r="J45" s="592"/>
      <c r="K45" s="236">
        <f>SUMIF(Budget!$A$2:$A$504,"PS Other",Budget!$N$2:$N$504)</f>
        <v>0</v>
      </c>
    </row>
    <row r="46" spans="1:12" s="217" customFormat="1" thickBot="1" x14ac:dyDescent="0.3">
      <c r="A46" s="231" t="s">
        <v>354</v>
      </c>
      <c r="B46" s="244"/>
      <c r="C46" s="220"/>
      <c r="D46" s="220"/>
      <c r="H46" s="600" t="s">
        <v>355</v>
      </c>
      <c r="I46" s="600"/>
      <c r="J46" s="583"/>
      <c r="K46" s="235">
        <f>SUM(K41:K45)</f>
        <v>0</v>
      </c>
    </row>
    <row r="47" spans="1:12" s="217" customFormat="1" ht="15" customHeight="1" x14ac:dyDescent="0.25">
      <c r="C47" s="597"/>
      <c r="D47" s="597"/>
      <c r="K47" s="221"/>
    </row>
    <row r="48" spans="1:12" x14ac:dyDescent="0.25">
      <c r="A48" s="126" t="s">
        <v>301</v>
      </c>
      <c r="K48" s="230" t="s">
        <v>346</v>
      </c>
    </row>
    <row r="49" spans="1:12" s="217" customFormat="1" ht="15" x14ac:dyDescent="0.25">
      <c r="A49" s="601" t="s">
        <v>120</v>
      </c>
      <c r="B49" s="601"/>
      <c r="C49" s="601"/>
      <c r="D49" s="601"/>
      <c r="E49" s="601"/>
      <c r="F49" s="601"/>
      <c r="G49" s="601"/>
      <c r="H49" s="601"/>
      <c r="I49" s="601"/>
      <c r="J49" s="601"/>
      <c r="K49" s="247">
        <f>SUMIF(Budget!$A$2:$A$504,"Materials &amp; Supplies",Budget!$N$2:$N$504)</f>
        <v>0</v>
      </c>
    </row>
    <row r="50" spans="1:12" s="217" customFormat="1" ht="15" x14ac:dyDescent="0.25">
      <c r="A50" s="601" t="s">
        <v>322</v>
      </c>
      <c r="B50" s="601"/>
      <c r="C50" s="601"/>
      <c r="D50" s="601"/>
      <c r="E50" s="601"/>
      <c r="F50" s="601"/>
      <c r="G50" s="601"/>
      <c r="H50" s="601"/>
      <c r="I50" s="601"/>
      <c r="J50" s="601"/>
      <c r="K50" s="247">
        <f>SUMIF(Budget!$A$2:$A$504,"Publication Costs/Page Charges",Budget!$N$2:$N$504)</f>
        <v>0</v>
      </c>
    </row>
    <row r="51" spans="1:12" s="217" customFormat="1" ht="15" x14ac:dyDescent="0.25">
      <c r="A51" s="601" t="s">
        <v>122</v>
      </c>
      <c r="B51" s="601"/>
      <c r="C51" s="601"/>
      <c r="D51" s="601"/>
      <c r="E51" s="601"/>
      <c r="F51" s="601"/>
      <c r="G51" s="601"/>
      <c r="H51" s="601"/>
      <c r="I51" s="601"/>
      <c r="J51" s="601"/>
      <c r="K51" s="247">
        <f>SUMIF(Budget!$A$2:$A$504,"Consultant Services",Budget!$N$2:$N$504)</f>
        <v>0</v>
      </c>
    </row>
    <row r="52" spans="1:12" s="217" customFormat="1" ht="15" x14ac:dyDescent="0.25">
      <c r="A52" s="601" t="s">
        <v>323</v>
      </c>
      <c r="B52" s="601"/>
      <c r="C52" s="601"/>
      <c r="D52" s="601"/>
      <c r="E52" s="601"/>
      <c r="F52" s="601"/>
      <c r="G52" s="601"/>
      <c r="H52" s="601"/>
      <c r="I52" s="601"/>
      <c r="J52" s="601"/>
      <c r="K52" s="247">
        <f>SUMIF(Budget!$A$2:$A$504,"Computer (ADPE) Services",Budget!$N$2:$N$504)</f>
        <v>0</v>
      </c>
    </row>
    <row r="53" spans="1:12" s="217" customFormat="1" ht="15" x14ac:dyDescent="0.25">
      <c r="A53" s="601" t="s">
        <v>360</v>
      </c>
      <c r="B53" s="601"/>
      <c r="C53" s="601"/>
      <c r="D53" s="601"/>
      <c r="E53" s="601"/>
      <c r="F53" s="601"/>
      <c r="G53" s="601"/>
      <c r="H53" s="601"/>
      <c r="I53" s="601"/>
      <c r="J53" s="601"/>
      <c r="K53" s="247">
        <f ca="1">TotalSubs5+TotalMulti5+SUMIF(Budget!$A$2:$A$504,"Vendor Contract",Budget!$N$2:$N$504)+SUMIF(Budget!$A$2:$A$504,"Service Agreement",Budget!$N$2:$N$504)</f>
        <v>0</v>
      </c>
    </row>
    <row r="54" spans="1:12" s="217" customFormat="1" x14ac:dyDescent="0.25">
      <c r="A54" s="601" t="s">
        <v>325</v>
      </c>
      <c r="B54" s="601"/>
      <c r="C54" s="601"/>
      <c r="D54" s="601"/>
      <c r="E54" s="601"/>
      <c r="F54" s="601"/>
      <c r="G54" s="601"/>
      <c r="H54" s="601"/>
      <c r="I54" s="601"/>
      <c r="J54" s="601"/>
      <c r="K54" s="242">
        <f>SUMIF(Budget!$A$2:$A$504,"Other Rentals",Budget!$N$2:$N$504)+SUMIF(Budget!$A$2:$A$504,"Space Rentals",Budget!$N$2:$N$504)+SUMIF(Budget!$A$2:$A$504,"Equipment or Facility Rental/User Fees",Budget!$N$2:$N$504)</f>
        <v>0</v>
      </c>
    </row>
    <row r="55" spans="1:12" s="217" customFormat="1" ht="15" x14ac:dyDescent="0.25">
      <c r="A55" s="601" t="s">
        <v>326</v>
      </c>
      <c r="B55" s="601"/>
      <c r="C55" s="601"/>
      <c r="D55" s="601"/>
      <c r="E55" s="601"/>
      <c r="F55" s="601"/>
      <c r="G55" s="601"/>
      <c r="H55" s="601"/>
      <c r="I55" s="601"/>
      <c r="J55" s="601"/>
      <c r="K55" s="247">
        <f>SUMIF(Budget!$A$2:$A$504,"Alterations and Renovations",Budget!$N$2:$N$504)</f>
        <v>0</v>
      </c>
    </row>
    <row r="56" spans="1:12" s="217" customFormat="1" ht="15" x14ac:dyDescent="0.25">
      <c r="A56" s="598" t="s">
        <v>379</v>
      </c>
      <c r="B56" s="598"/>
      <c r="C56" s="598"/>
      <c r="D56" s="598"/>
      <c r="E56" s="598"/>
      <c r="F56" s="598"/>
      <c r="G56" s="598"/>
      <c r="H56" s="598"/>
      <c r="I56" s="598"/>
      <c r="J56" s="598"/>
      <c r="K56" s="247">
        <f>TotalGSR5</f>
        <v>0</v>
      </c>
    </row>
    <row r="57" spans="1:12" s="217" customFormat="1" ht="15" x14ac:dyDescent="0.25">
      <c r="A57" s="598" t="s">
        <v>380</v>
      </c>
      <c r="B57" s="598"/>
      <c r="C57" s="598"/>
      <c r="D57" s="598"/>
      <c r="E57" s="598"/>
      <c r="F57" s="598"/>
      <c r="G57" s="598"/>
      <c r="H57" s="598"/>
      <c r="I57" s="598"/>
      <c r="J57" s="598"/>
      <c r="K57" s="247">
        <f>SUMIF(Budget!$A$2:$A$504,"Other",Budget!$N$2:$N$504)+SUMIF(Budget!$A$2:$A$504,"Other Maintenance Fees",Budget!$N$2:$N$504)</f>
        <v>0</v>
      </c>
    </row>
    <row r="58" spans="1:12" s="217" customFormat="1" thickBot="1" x14ac:dyDescent="0.3">
      <c r="A58" s="602" t="s">
        <v>383</v>
      </c>
      <c r="B58" s="602"/>
      <c r="C58" s="602"/>
      <c r="D58" s="602"/>
      <c r="E58" s="602"/>
      <c r="F58" s="602"/>
      <c r="G58" s="602"/>
      <c r="H58" s="602"/>
      <c r="I58" s="602"/>
      <c r="J58" s="602"/>
      <c r="K58" s="236">
        <v>0</v>
      </c>
    </row>
    <row r="59" spans="1:12" s="217" customFormat="1" ht="15" customHeight="1" thickBot="1" x14ac:dyDescent="0.3">
      <c r="I59" s="600" t="s">
        <v>21</v>
      </c>
      <c r="J59" s="583"/>
      <c r="K59" s="235">
        <f ca="1">SUM(K49:K58)</f>
        <v>0</v>
      </c>
    </row>
    <row r="60" spans="1:12" s="217" customFormat="1" ht="15" x14ac:dyDescent="0.25">
      <c r="K60" s="252"/>
    </row>
    <row r="61" spans="1:12" ht="16.5" thickBot="1" x14ac:dyDescent="0.3">
      <c r="A61" s="126" t="s">
        <v>302</v>
      </c>
      <c r="K61" s="230" t="s">
        <v>346</v>
      </c>
      <c r="L61" s="221"/>
    </row>
    <row r="62" spans="1:12" s="217" customFormat="1" ht="15" customHeight="1" thickBot="1" x14ac:dyDescent="0.3">
      <c r="A62" s="583" t="s">
        <v>359</v>
      </c>
      <c r="B62" s="584"/>
      <c r="C62" s="584"/>
      <c r="D62" s="584"/>
      <c r="E62" s="584"/>
      <c r="F62" s="584"/>
      <c r="G62" s="584"/>
      <c r="H62" s="584"/>
      <c r="I62" s="584"/>
      <c r="J62" s="584"/>
      <c r="K62" s="235">
        <f ca="1">K25+K33+K38+K46+K59</f>
        <v>0</v>
      </c>
    </row>
    <row r="63" spans="1:12" s="217" customFormat="1" ht="15" x14ac:dyDescent="0.25">
      <c r="K63" s="252"/>
    </row>
    <row r="64" spans="1:12" x14ac:dyDescent="0.25">
      <c r="A64" s="126" t="s">
        <v>303</v>
      </c>
    </row>
    <row r="65" spans="1:11" s="217" customFormat="1" ht="15" x14ac:dyDescent="0.25">
      <c r="A65" s="587" t="s">
        <v>357</v>
      </c>
      <c r="B65" s="587"/>
      <c r="C65" s="587"/>
      <c r="D65" s="587"/>
      <c r="E65" s="587"/>
      <c r="F65" s="587" t="s">
        <v>358</v>
      </c>
      <c r="G65" s="587"/>
      <c r="H65" s="587"/>
      <c r="I65" s="587"/>
      <c r="J65" s="587"/>
      <c r="K65" s="249" t="s">
        <v>346</v>
      </c>
    </row>
    <row r="66" spans="1:11" s="217" customFormat="1" ht="15" x14ac:dyDescent="0.25">
      <c r="A66" s="603" t="str">
        <f>Budget!N105</f>
        <v xml:space="preserve"> </v>
      </c>
      <c r="B66" s="603"/>
      <c r="C66" s="603"/>
      <c r="D66" s="603"/>
      <c r="E66" s="603"/>
      <c r="F66" s="588">
        <f ca="1">Budget!N101</f>
        <v>0</v>
      </c>
      <c r="G66" s="588"/>
      <c r="H66" s="588"/>
      <c r="I66" s="588"/>
      <c r="J66" s="588"/>
      <c r="K66" s="247" t="e">
        <f ca="1">ROUND((A66*F66),0)</f>
        <v>#VALUE!</v>
      </c>
    </row>
    <row r="67" spans="1:11" s="217" customFormat="1" ht="15" x14ac:dyDescent="0.25">
      <c r="A67" s="577"/>
      <c r="B67" s="577"/>
      <c r="C67" s="577"/>
      <c r="D67" s="577"/>
      <c r="E67" s="577"/>
      <c r="F67" s="578"/>
      <c r="G67" s="578"/>
      <c r="H67" s="578"/>
      <c r="I67" s="578"/>
      <c r="J67" s="578"/>
      <c r="K67" s="253">
        <f t="shared" ref="K67:K69" si="6">ROUND((A67*F67),0)</f>
        <v>0</v>
      </c>
    </row>
    <row r="68" spans="1:11" s="217" customFormat="1" ht="15" x14ac:dyDescent="0.25">
      <c r="A68" s="577"/>
      <c r="B68" s="577"/>
      <c r="C68" s="577"/>
      <c r="D68" s="577"/>
      <c r="E68" s="577"/>
      <c r="F68" s="578"/>
      <c r="G68" s="578"/>
      <c r="H68" s="578"/>
      <c r="I68" s="578"/>
      <c r="J68" s="578"/>
      <c r="K68" s="253">
        <f t="shared" si="6"/>
        <v>0</v>
      </c>
    </row>
    <row r="69" spans="1:11" s="217" customFormat="1" thickBot="1" x14ac:dyDescent="0.3">
      <c r="A69" s="577"/>
      <c r="B69" s="577"/>
      <c r="C69" s="577"/>
      <c r="D69" s="577"/>
      <c r="E69" s="577"/>
      <c r="F69" s="578"/>
      <c r="G69" s="578"/>
      <c r="H69" s="578"/>
      <c r="I69" s="578"/>
      <c r="J69" s="578"/>
      <c r="K69" s="253">
        <f t="shared" si="6"/>
        <v>0</v>
      </c>
    </row>
    <row r="70" spans="1:11" s="217" customFormat="1" thickBot="1" x14ac:dyDescent="0.3">
      <c r="I70" s="583" t="s">
        <v>27</v>
      </c>
      <c r="J70" s="584"/>
      <c r="K70" s="235" t="e">
        <f ca="1">SUM(K66:K69)</f>
        <v>#VALUE!</v>
      </c>
    </row>
    <row r="71" spans="1:11" s="217" customFormat="1" ht="15" x14ac:dyDescent="0.25">
      <c r="K71" s="252"/>
    </row>
    <row r="72" spans="1:11" ht="16.5" thickBot="1" x14ac:dyDescent="0.3">
      <c r="A72" s="126" t="s">
        <v>304</v>
      </c>
      <c r="K72" s="232" t="s">
        <v>346</v>
      </c>
    </row>
    <row r="73" spans="1:11" s="217" customFormat="1" thickBot="1" x14ac:dyDescent="0.3">
      <c r="A73" s="583" t="s">
        <v>356</v>
      </c>
      <c r="B73" s="584"/>
      <c r="C73" s="584"/>
      <c r="D73" s="584"/>
      <c r="E73" s="584"/>
      <c r="F73" s="584"/>
      <c r="G73" s="584"/>
      <c r="H73" s="584"/>
      <c r="I73" s="584"/>
      <c r="J73" s="584"/>
      <c r="K73" s="235" t="e">
        <f ca="1">K62+K70</f>
        <v>#VALUE!</v>
      </c>
    </row>
    <row r="74" spans="1:11" s="217" customFormat="1" ht="15" x14ac:dyDescent="0.25">
      <c r="K74" s="252"/>
    </row>
    <row r="75" spans="1:11" ht="16.5" thickBot="1" x14ac:dyDescent="0.3">
      <c r="A75" s="126" t="s">
        <v>305</v>
      </c>
      <c r="K75" s="230" t="s">
        <v>346</v>
      </c>
    </row>
    <row r="76" spans="1:11" s="217" customFormat="1" thickBot="1" x14ac:dyDescent="0.3">
      <c r="A76" s="604"/>
      <c r="B76" s="605"/>
      <c r="C76" s="605"/>
      <c r="D76" s="605"/>
      <c r="E76" s="605"/>
      <c r="F76" s="605"/>
      <c r="G76" s="605"/>
      <c r="H76" s="605"/>
      <c r="I76" s="605"/>
      <c r="J76" s="605"/>
      <c r="K76" s="245"/>
    </row>
    <row r="78" spans="1:11" ht="16.5" thickBot="1" x14ac:dyDescent="0.3"/>
    <row r="79" spans="1:11" x14ac:dyDescent="0.25">
      <c r="A79" s="254" t="s">
        <v>364</v>
      </c>
      <c r="B79" s="255"/>
      <c r="C79" s="255"/>
      <c r="D79" s="255"/>
      <c r="E79" s="255"/>
      <c r="F79" s="255"/>
      <c r="G79" s="255"/>
      <c r="H79" s="255"/>
      <c r="I79" s="255"/>
      <c r="J79" s="255"/>
      <c r="K79" s="256"/>
    </row>
    <row r="80" spans="1:11" x14ac:dyDescent="0.25">
      <c r="A80" s="257" t="s">
        <v>369</v>
      </c>
      <c r="B80" s="258"/>
      <c r="C80" s="258"/>
      <c r="D80" s="258"/>
      <c r="E80" s="258"/>
      <c r="F80" s="258"/>
      <c r="G80" s="258"/>
      <c r="H80" s="258"/>
      <c r="I80" s="258"/>
      <c r="J80" s="258"/>
      <c r="K80" s="259"/>
    </row>
    <row r="81" spans="1:11" x14ac:dyDescent="0.25">
      <c r="A81" s="257" t="s">
        <v>368</v>
      </c>
      <c r="B81" s="258"/>
      <c r="C81" s="258"/>
      <c r="D81" s="258"/>
      <c r="E81" s="258"/>
      <c r="F81" s="258"/>
      <c r="G81" s="258"/>
      <c r="H81" s="258"/>
      <c r="I81" s="258"/>
      <c r="J81" s="258"/>
      <c r="K81" s="259"/>
    </row>
    <row r="82" spans="1:11" x14ac:dyDescent="0.25">
      <c r="A82" s="257" t="s">
        <v>385</v>
      </c>
      <c r="B82" s="258"/>
      <c r="C82" s="258"/>
      <c r="D82" s="258"/>
      <c r="E82" s="258"/>
      <c r="F82" s="258"/>
      <c r="G82" s="258"/>
      <c r="H82" s="258"/>
      <c r="I82" s="258"/>
      <c r="J82" s="258"/>
      <c r="K82" s="259"/>
    </row>
    <row r="83" spans="1:11" ht="16.5" thickBot="1" x14ac:dyDescent="0.3">
      <c r="A83" s="260" t="s">
        <v>378</v>
      </c>
      <c r="B83" s="261"/>
      <c r="C83" s="261"/>
      <c r="D83" s="261"/>
      <c r="E83" s="261"/>
      <c r="F83" s="261"/>
      <c r="G83" s="261"/>
      <c r="H83" s="261"/>
      <c r="I83" s="261"/>
      <c r="J83" s="261"/>
      <c r="K83" s="262"/>
    </row>
  </sheetData>
  <sheetProtection algorithmName="SHA-512" hashValue="NCjI4/ydZDQRiP+zecm6Th3fNm8veHAEBw5FrxgxHwp+BjUmwDu+BeeU4XyBM7gOy967hH2iuZnKHEWAmeyWbQ==" saltValue="p0ScFLXm8aYLrRIaQynxxA==" spinCount="100000" sheet="1" objects="1" scenarios="1" selectLockedCells="1"/>
  <mergeCells count="79">
    <mergeCell ref="A69:E69"/>
    <mergeCell ref="F69:J69"/>
    <mergeCell ref="I70:J70"/>
    <mergeCell ref="A73:J73"/>
    <mergeCell ref="A76:J76"/>
    <mergeCell ref="A66:E66"/>
    <mergeCell ref="F66:J66"/>
    <mergeCell ref="A67:E67"/>
    <mergeCell ref="F67:J67"/>
    <mergeCell ref="A68:E68"/>
    <mergeCell ref="F68:J68"/>
    <mergeCell ref="A57:J57"/>
    <mergeCell ref="A58:J58"/>
    <mergeCell ref="I59:J59"/>
    <mergeCell ref="A62:J62"/>
    <mergeCell ref="A65:E65"/>
    <mergeCell ref="F65:J65"/>
    <mergeCell ref="A56:J56"/>
    <mergeCell ref="A44:J44"/>
    <mergeCell ref="A45:J45"/>
    <mergeCell ref="H46:J46"/>
    <mergeCell ref="C47:D47"/>
    <mergeCell ref="A49:J49"/>
    <mergeCell ref="A50:J50"/>
    <mergeCell ref="A51:J51"/>
    <mergeCell ref="A52:J52"/>
    <mergeCell ref="A53:J53"/>
    <mergeCell ref="A54:J54"/>
    <mergeCell ref="A55:J55"/>
    <mergeCell ref="A43:J43"/>
    <mergeCell ref="A27:J27"/>
    <mergeCell ref="A28:J28"/>
    <mergeCell ref="A29:J29"/>
    <mergeCell ref="A30:J30"/>
    <mergeCell ref="A31:J31"/>
    <mergeCell ref="A32:J32"/>
    <mergeCell ref="A36:J36"/>
    <mergeCell ref="A37:J37"/>
    <mergeCell ref="C38:D38"/>
    <mergeCell ref="A41:J41"/>
    <mergeCell ref="A42:J42"/>
    <mergeCell ref="H25:J25"/>
    <mergeCell ref="B21:C21"/>
    <mergeCell ref="G21:H21"/>
    <mergeCell ref="I21:J21"/>
    <mergeCell ref="B22:C22"/>
    <mergeCell ref="G22:H22"/>
    <mergeCell ref="I22:J22"/>
    <mergeCell ref="B23:C23"/>
    <mergeCell ref="G23:H23"/>
    <mergeCell ref="I23:J23"/>
    <mergeCell ref="B24:D24"/>
    <mergeCell ref="H24:J24"/>
    <mergeCell ref="B19:C19"/>
    <mergeCell ref="G19:H19"/>
    <mergeCell ref="I19:J19"/>
    <mergeCell ref="B20:C20"/>
    <mergeCell ref="G20:H20"/>
    <mergeCell ref="I20:J20"/>
    <mergeCell ref="B17:C17"/>
    <mergeCell ref="G17:H17"/>
    <mergeCell ref="I17:J17"/>
    <mergeCell ref="B18:C18"/>
    <mergeCell ref="G18:H18"/>
    <mergeCell ref="I18:J18"/>
    <mergeCell ref="B15:C15"/>
    <mergeCell ref="G15:H15"/>
    <mergeCell ref="I15:J15"/>
    <mergeCell ref="B16:C16"/>
    <mergeCell ref="G16:H16"/>
    <mergeCell ref="I16:J16"/>
    <mergeCell ref="B14:C14"/>
    <mergeCell ref="G14:H14"/>
    <mergeCell ref="I14:J14"/>
    <mergeCell ref="F10:H10"/>
    <mergeCell ref="I11:J11"/>
    <mergeCell ref="B13:C13"/>
    <mergeCell ref="G13:H13"/>
    <mergeCell ref="I13:J13"/>
  </mergeCells>
  <pageMargins left="0.75" right="0.75" top="1" bottom="1" header="0.5" footer="0.5"/>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L83"/>
  <sheetViews>
    <sheetView workbookViewId="0">
      <selection activeCell="A15" sqref="A15"/>
    </sheetView>
  </sheetViews>
  <sheetFormatPr defaultColWidth="11" defaultRowHeight="15.75" x14ac:dyDescent="0.25"/>
  <cols>
    <col min="1" max="1" width="30.875" customWidth="1"/>
    <col min="2" max="8" width="10.875" customWidth="1"/>
    <col min="9" max="9" width="14.875" customWidth="1"/>
    <col min="10" max="10" width="15" customWidth="1"/>
    <col min="11" max="11" width="14.875" style="246" customWidth="1"/>
  </cols>
  <sheetData>
    <row r="1" spans="1:11" x14ac:dyDescent="0.25">
      <c r="A1" s="126" t="s">
        <v>390</v>
      </c>
    </row>
    <row r="3" spans="1:11" x14ac:dyDescent="0.25">
      <c r="A3" s="126" t="s">
        <v>297</v>
      </c>
    </row>
    <row r="4" spans="1:11" s="221" customFormat="1" ht="15" x14ac:dyDescent="0.25">
      <c r="A4" s="250" t="s">
        <v>11</v>
      </c>
      <c r="B4" s="249" t="s">
        <v>363</v>
      </c>
      <c r="C4" s="249" t="s">
        <v>332</v>
      </c>
      <c r="D4" s="249" t="s">
        <v>333</v>
      </c>
      <c r="E4" s="249" t="s">
        <v>334</v>
      </c>
      <c r="F4" s="249" t="s">
        <v>335</v>
      </c>
      <c r="G4" s="249" t="s">
        <v>336</v>
      </c>
      <c r="H4" s="249" t="s">
        <v>337</v>
      </c>
      <c r="I4" s="249" t="s">
        <v>338</v>
      </c>
      <c r="J4" s="249" t="s">
        <v>339</v>
      </c>
      <c r="K4" s="249" t="s">
        <v>340</v>
      </c>
    </row>
    <row r="5" spans="1:11" s="217" customFormat="1" ht="15" x14ac:dyDescent="0.25">
      <c r="A5" s="222" t="str">
        <f>IF(B5&gt;0,(INDEX('Salary &amp; Fringe'!$A$1:$A$300,MATCH("Senior Person 1",'Salary &amp; Fringe'!$E$1:$E$300,FALSE),1)),"")</f>
        <v/>
      </c>
      <c r="B5" s="247">
        <f>IFERROR(IF(F5&gt;0, C5, D5+E5),0)</f>
        <v>0</v>
      </c>
      <c r="C5" s="247">
        <f>IFERROR(IF(F5&gt;0, (I5/SUM(F5:H5)*12),0),0)</f>
        <v>0</v>
      </c>
      <c r="D5" s="247">
        <f>IFERROR(IF($C5=0, (I5/SUM(F5:H5)*9),0),0)</f>
        <v>0</v>
      </c>
      <c r="E5" s="247">
        <f>IFERROR(IF($C5=0, (I5/SUM(F5:H5)*3),0),0)</f>
        <v>0</v>
      </c>
      <c r="F5" s="251">
        <f>SUMIFS('Salary &amp; Fringe'!$R$1:'Salary &amp; Fringe'!$R$300,'Salary &amp; Fringe'!$E$1:'Salary &amp; Fringe'!$E$300,"Senior Person 1",'Salary &amp; Fringe'!$F$1:'Salary &amp; Fringe'!$F$300,"Calendar*")</f>
        <v>0</v>
      </c>
      <c r="G5" s="251">
        <f>SUMIFS('Salary &amp; Fringe'!$R$1:'Salary &amp; Fringe'!$R$300,'Salary &amp; Fringe'!$E$1:'Salary &amp; Fringe'!$E$300,"Senior Person 1",'Salary &amp; Fringe'!$F$1:'Salary &amp; Fringe'!$F$300,"Academic")</f>
        <v>0</v>
      </c>
      <c r="H5" s="251">
        <f>SUMIFS('Salary &amp; Fringe'!$R$1:'Salary &amp; Fringe'!$R$300,'Salary &amp; Fringe'!$E$1:'Salary &amp; Fringe'!$E$300,"Senior Person 1",'Salary &amp; Fringe'!$F$1:'Salary &amp; Fringe'!$F$300,"Summer")</f>
        <v>0</v>
      </c>
      <c r="I5" s="247">
        <f>SUMIF('Salary &amp; Fringe'!$E$1:$E$300,"Senior Person 1",'Salary &amp; Fringe'!$AB$1:$AB$300)</f>
        <v>0</v>
      </c>
      <c r="J5" s="247">
        <f>SUMIF('Salary &amp; Fringe'!$E$1:$E$300,"Senior Person 1",'Salary &amp; Fringe'!$AL$1:$AL$300)</f>
        <v>0</v>
      </c>
      <c r="K5" s="247">
        <f>I5+J5</f>
        <v>0</v>
      </c>
    </row>
    <row r="6" spans="1:11" s="217" customFormat="1" ht="15" x14ac:dyDescent="0.25">
      <c r="A6" s="222" t="str">
        <f>IF(B6&gt;0,(INDEX('Salary &amp; Fringe'!$A$1:$A$300,MATCH("Senior Person 2",'Salary &amp; Fringe'!$E$1:$E$300,FALSE),1)),"")</f>
        <v/>
      </c>
      <c r="B6" s="247">
        <f t="shared" ref="B6:B9" si="0">IFERROR(IF(F6&gt;0, C6, D6+E6),0)</f>
        <v>0</v>
      </c>
      <c r="C6" s="247">
        <f t="shared" ref="C6:C9" si="1">IFERROR(IF(F6&gt;0, (I6/SUM(F6:H6)*12),0),0)</f>
        <v>0</v>
      </c>
      <c r="D6" s="247">
        <f t="shared" ref="D6:D9" si="2">IFERROR(IF($C6=0, (I6/SUM(F6:H6)*9),0),0)</f>
        <v>0</v>
      </c>
      <c r="E6" s="247">
        <f t="shared" ref="E6:E9" si="3">IFERROR(IF($C6=0, (I6/SUM(F6:H6)*3),0),0)</f>
        <v>0</v>
      </c>
      <c r="F6" s="251">
        <f>SUMIFS('Salary &amp; Fringe'!$R$1:'Salary &amp; Fringe'!$R$300,'Salary &amp; Fringe'!$E$1:'Salary &amp; Fringe'!$E$300,"Senior Person 2",'Salary &amp; Fringe'!$F$1:'Salary &amp; Fringe'!$F$300,"Calendar*")</f>
        <v>0</v>
      </c>
      <c r="G6" s="251">
        <f>SUMIFS('Salary &amp; Fringe'!$R$1:'Salary &amp; Fringe'!$R$300,'Salary &amp; Fringe'!$E$1:'Salary &amp; Fringe'!$E$300,"Senior Person 2",'Salary &amp; Fringe'!$F$1:'Salary &amp; Fringe'!$F$300,"Academic")</f>
        <v>0</v>
      </c>
      <c r="H6" s="251">
        <f>SUMIFS('Salary &amp; Fringe'!$R$1:'Salary &amp; Fringe'!$R$300,'Salary &amp; Fringe'!$E$1:'Salary &amp; Fringe'!$E$300,"Senior Person 2",'Salary &amp; Fringe'!$F$1:'Salary &amp; Fringe'!$F$300,"Summer")</f>
        <v>0</v>
      </c>
      <c r="I6" s="247">
        <f>SUMIF('Salary &amp; Fringe'!$E$1:$E$300,"Senior Person 2",'Salary &amp; Fringe'!$AB$1:$AB$300)</f>
        <v>0</v>
      </c>
      <c r="J6" s="247">
        <f>SUMIF('Salary &amp; Fringe'!$E$1:$E$300,"Senior Person 2",'Salary &amp; Fringe'!$AL$1:$AL$300)</f>
        <v>0</v>
      </c>
      <c r="K6" s="247">
        <f t="shared" ref="K6:K10" si="4">I6+J6</f>
        <v>0</v>
      </c>
    </row>
    <row r="7" spans="1:11" s="217" customFormat="1" ht="15" x14ac:dyDescent="0.25">
      <c r="A7" s="222" t="str">
        <f>IF(B7&gt;0,(INDEX('Salary &amp; Fringe'!$A$1:$A$300,MATCH("Senior Person 3",'Salary &amp; Fringe'!$E$1:$E$300,FALSE),1)),"")</f>
        <v/>
      </c>
      <c r="B7" s="247">
        <f t="shared" si="0"/>
        <v>0</v>
      </c>
      <c r="C7" s="247">
        <f t="shared" si="1"/>
        <v>0</v>
      </c>
      <c r="D7" s="247">
        <f t="shared" si="2"/>
        <v>0</v>
      </c>
      <c r="E7" s="247">
        <f t="shared" si="3"/>
        <v>0</v>
      </c>
      <c r="F7" s="251">
        <f>SUMIFS('Salary &amp; Fringe'!$R$1:'Salary &amp; Fringe'!$R$300,'Salary &amp; Fringe'!$E$1:'Salary &amp; Fringe'!$E$300,"Senior Person 3",'Salary &amp; Fringe'!$F$1:'Salary &amp; Fringe'!$F$300,"Calendar*")</f>
        <v>0</v>
      </c>
      <c r="G7" s="251">
        <f>SUMIFS('Salary &amp; Fringe'!$R$1:'Salary &amp; Fringe'!$R$300,'Salary &amp; Fringe'!$E$1:'Salary &amp; Fringe'!$E$300,"Senior Person 3",'Salary &amp; Fringe'!$F$1:'Salary &amp; Fringe'!$F$300,"Academic")</f>
        <v>0</v>
      </c>
      <c r="H7" s="251">
        <f>SUMIFS('Salary &amp; Fringe'!$R$1:'Salary &amp; Fringe'!$R$300,'Salary &amp; Fringe'!$E$1:'Salary &amp; Fringe'!$E$300,"Senior Person 3",'Salary &amp; Fringe'!$F$1:'Salary &amp; Fringe'!$F$300,"Summer")</f>
        <v>0</v>
      </c>
      <c r="I7" s="247">
        <f>SUMIF('Salary &amp; Fringe'!$E$1:$E$300,"Senior Person 3",'Salary &amp; Fringe'!$AB$1:$AB$300)</f>
        <v>0</v>
      </c>
      <c r="J7" s="247">
        <f>SUMIF('Salary &amp; Fringe'!$E$1:$E$300,"Senior Person 3",'Salary &amp; Fringe'!$AL$1:$AL$300)</f>
        <v>0</v>
      </c>
      <c r="K7" s="247">
        <f t="shared" si="4"/>
        <v>0</v>
      </c>
    </row>
    <row r="8" spans="1:11" s="217" customFormat="1" ht="15" x14ac:dyDescent="0.25">
      <c r="A8" s="222" t="str">
        <f>IF(B8&gt;0,(INDEX('Salary &amp; Fringe'!$A$1:$A$300,MATCH("Senior Person 4",'Salary &amp; Fringe'!$E$1:$E$300,FALSE),1)),"")</f>
        <v/>
      </c>
      <c r="B8" s="247">
        <f t="shared" si="0"/>
        <v>0</v>
      </c>
      <c r="C8" s="247">
        <f t="shared" si="1"/>
        <v>0</v>
      </c>
      <c r="D8" s="247">
        <f t="shared" si="2"/>
        <v>0</v>
      </c>
      <c r="E8" s="247">
        <f t="shared" si="3"/>
        <v>0</v>
      </c>
      <c r="F8" s="251">
        <f>SUMIFS('Salary &amp; Fringe'!$R$1:'Salary &amp; Fringe'!$R$300,'Salary &amp; Fringe'!$E$1:'Salary &amp; Fringe'!$E$300,"Senior Person 4",'Salary &amp; Fringe'!$F$1:'Salary &amp; Fringe'!$F$300,"Calendar*")</f>
        <v>0</v>
      </c>
      <c r="G8" s="251">
        <f>SUMIFS('Salary &amp; Fringe'!$R$1:'Salary &amp; Fringe'!$R$300,'Salary &amp; Fringe'!$E$1:'Salary &amp; Fringe'!$E$300,"Senior Person 4",'Salary &amp; Fringe'!$F$1:'Salary &amp; Fringe'!$F$300,"Academic")</f>
        <v>0</v>
      </c>
      <c r="H8" s="251">
        <f>SUMIFS('Salary &amp; Fringe'!$R$1:'Salary &amp; Fringe'!$R$300,'Salary &amp; Fringe'!$E$1:'Salary &amp; Fringe'!$E$300,"Senior Person 4",'Salary &amp; Fringe'!$F$1:'Salary &amp; Fringe'!$F$300,"Summer")</f>
        <v>0</v>
      </c>
      <c r="I8" s="247">
        <f>SUMIF('Salary &amp; Fringe'!$E$1:$E$300,"Senior Person 4",'Salary &amp; Fringe'!$AB$1:$AB$300)</f>
        <v>0</v>
      </c>
      <c r="J8" s="247">
        <f>SUMIF('Salary &amp; Fringe'!$E$1:$E$300,"Senior Person 4",'Salary &amp; Fringe'!$AL$1:$AL$300)</f>
        <v>0</v>
      </c>
      <c r="K8" s="247">
        <f t="shared" si="4"/>
        <v>0</v>
      </c>
    </row>
    <row r="9" spans="1:11" s="217" customFormat="1" ht="15" x14ac:dyDescent="0.25">
      <c r="A9" s="222" t="str">
        <f>IF(B9&gt;0,(INDEX('Salary &amp; Fringe'!$A$1:$A$300,MATCH("Senior Person 5",'Salary &amp; Fringe'!$E$1:$E$300,FALSE),1)),"")</f>
        <v/>
      </c>
      <c r="B9" s="247">
        <f t="shared" si="0"/>
        <v>0</v>
      </c>
      <c r="C9" s="247">
        <f t="shared" si="1"/>
        <v>0</v>
      </c>
      <c r="D9" s="247">
        <f t="shared" si="2"/>
        <v>0</v>
      </c>
      <c r="E9" s="247">
        <f t="shared" si="3"/>
        <v>0</v>
      </c>
      <c r="F9" s="251">
        <f>SUMIFS('Salary &amp; Fringe'!$R$1:'Salary &amp; Fringe'!$R$300,'Salary &amp; Fringe'!$E$1:'Salary &amp; Fringe'!$E$300,"Senior Person 5",'Salary &amp; Fringe'!$F$1:'Salary &amp; Fringe'!$F$300,"Calendar*")</f>
        <v>0</v>
      </c>
      <c r="G9" s="251">
        <f>SUMIFS('Salary &amp; Fringe'!$R$1:'Salary &amp; Fringe'!$R$300,'Salary &amp; Fringe'!$E$1:'Salary &amp; Fringe'!$E$300,"Senior Person 5",'Salary &amp; Fringe'!$F$1:'Salary &amp; Fringe'!$F$300,"Academic")</f>
        <v>0</v>
      </c>
      <c r="H9" s="251">
        <f>SUMIFS('Salary &amp; Fringe'!$R$1:'Salary &amp; Fringe'!$R$300,'Salary &amp; Fringe'!$E$1:'Salary &amp; Fringe'!$E$300,"Senior Person 5",'Salary &amp; Fringe'!$F$1:'Salary &amp; Fringe'!$F$300,"Summer")</f>
        <v>0</v>
      </c>
      <c r="I9" s="247">
        <f>SUMIF('Salary &amp; Fringe'!$E$1:$E$300,"Senior Person 5",'Salary &amp; Fringe'!$AB$1:$AB$300)</f>
        <v>0</v>
      </c>
      <c r="J9" s="247">
        <f>SUMIF('Salary &amp; Fringe'!$E$1:$E$300,"Senior Person 5",'Salary &amp; Fringe'!$AL$1:$AL$300)</f>
        <v>0</v>
      </c>
      <c r="K9" s="247">
        <f t="shared" si="4"/>
        <v>0</v>
      </c>
    </row>
    <row r="10" spans="1:11" s="217" customFormat="1" thickBot="1" x14ac:dyDescent="0.3">
      <c r="A10" s="224"/>
      <c r="B10" s="241"/>
      <c r="C10" s="241"/>
      <c r="D10" s="241"/>
      <c r="E10" s="241"/>
      <c r="F10" s="583" t="s">
        <v>366</v>
      </c>
      <c r="G10" s="584"/>
      <c r="H10" s="585"/>
      <c r="I10" s="247">
        <f>SUMIF('Salary &amp; Fringe'!$E$1:$E$300,"Senior (Other)",'Salary &amp; Fringe'!$AB$1:$AB$300)</f>
        <v>0</v>
      </c>
      <c r="J10" s="247">
        <f>SUMIF('Salary &amp; Fringe'!$E$1:$E$300,"Senior (Other)",'Salary &amp; Fringe'!$AL$1:$AL$300)</f>
        <v>0</v>
      </c>
      <c r="K10" s="247">
        <f t="shared" si="4"/>
        <v>0</v>
      </c>
    </row>
    <row r="11" spans="1:11" s="217" customFormat="1" thickBot="1" x14ac:dyDescent="0.3">
      <c r="I11" s="583" t="s">
        <v>361</v>
      </c>
      <c r="J11" s="586"/>
      <c r="K11" s="235">
        <f>SUM(K5:K10)</f>
        <v>0</v>
      </c>
    </row>
    <row r="12" spans="1:11" x14ac:dyDescent="0.25">
      <c r="A12" s="126" t="s">
        <v>102</v>
      </c>
    </row>
    <row r="13" spans="1:11" s="221" customFormat="1" ht="15" x14ac:dyDescent="0.25">
      <c r="A13" s="223" t="s">
        <v>341</v>
      </c>
      <c r="B13" s="587" t="s">
        <v>342</v>
      </c>
      <c r="C13" s="587"/>
      <c r="D13" s="249" t="s">
        <v>343</v>
      </c>
      <c r="E13" s="249" t="s">
        <v>344</v>
      </c>
      <c r="F13" s="249" t="s">
        <v>345</v>
      </c>
      <c r="G13" s="587" t="s">
        <v>338</v>
      </c>
      <c r="H13" s="587"/>
      <c r="I13" s="587" t="s">
        <v>339</v>
      </c>
      <c r="J13" s="587"/>
      <c r="K13" s="249" t="s">
        <v>346</v>
      </c>
    </row>
    <row r="14" spans="1:11" s="217" customFormat="1" ht="15" x14ac:dyDescent="0.25">
      <c r="A14" s="239">
        <f>SUMIFS('Salary &amp; Fringe'!$I$1:$I$300,'Salary &amp; Fringe'!$E$1:$E$300,"Postdoc", 'Salary &amp; Fringe'!$R$1:'Salary &amp; Fringe'!$R$300, "&gt;0")</f>
        <v>0</v>
      </c>
      <c r="B14" s="580" t="s">
        <v>103</v>
      </c>
      <c r="C14" s="580"/>
      <c r="D14" s="251">
        <f>SUMIFS('Salary &amp; Fringe'!$R$1:'Salary &amp; Fringe'!$R$300,'Salary &amp; Fringe'!$E$1:'Salary &amp; Fringe'!$E$300,"Postdoc",'Salary &amp; Fringe'!$F$1:'Salary &amp; Fringe'!$F$300,"Calendar*")+SUMIFS('Salary &amp; Fringe'!$R$1:'Salary &amp; Fringe'!$R$300,'Salary &amp; Fringe'!$E$1:'Salary &amp; Fringe'!$E$300,"Postdoc",'Salary &amp; Fringe'!$F$1:'Salary &amp; Fringe'!$F$300,"Hourly")</f>
        <v>0</v>
      </c>
      <c r="E14" s="251">
        <f>SUMIFS('Salary &amp; Fringe'!$R$1:'Salary &amp; Fringe'!$R$300,'Salary &amp; Fringe'!$E$1:'Salary &amp; Fringe'!$E$300,"Postdoc",'Salary &amp; Fringe'!$F$1:'Salary &amp; Fringe'!$F$300,"Academic")</f>
        <v>0</v>
      </c>
      <c r="F14" s="251">
        <f>SUMIFS('Salary &amp; Fringe'!$R$1:'Salary &amp; Fringe'!$R$300,'Salary &amp; Fringe'!$E$1:'Salary &amp; Fringe'!$E$300,"Postdoc",'Salary &amp; Fringe'!$F$1:'Salary &amp; Fringe'!$F$300,"Summer")</f>
        <v>0</v>
      </c>
      <c r="G14" s="581">
        <f>SUMIF('Salary &amp; Fringe'!$E$1:$E$300,"Postdoc",'Salary &amp; Fringe'!$AB$1:$AB$300)</f>
        <v>0</v>
      </c>
      <c r="H14" s="582"/>
      <c r="I14" s="581">
        <f>SUMIF('Salary &amp; Fringe'!$E$1:$E$300,"Postdoc",'Salary &amp; Fringe'!$AL$1:$AL$300)</f>
        <v>0</v>
      </c>
      <c r="J14" s="582"/>
      <c r="K14" s="247">
        <f>G14+I14</f>
        <v>0</v>
      </c>
    </row>
    <row r="15" spans="1:11" s="217" customFormat="1" ht="15" x14ac:dyDescent="0.25">
      <c r="A15" s="243"/>
      <c r="B15" s="580" t="s">
        <v>105</v>
      </c>
      <c r="C15" s="580"/>
      <c r="D15" s="251">
        <f>SUMIFS('Salary &amp; Fringe'!$R$1:'Salary &amp; Fringe'!$R$300,'Salary &amp; Fringe'!$E$1:'Salary &amp; Fringe'!$E$300,"Grad",'Salary &amp; Fringe'!$F$1:'Salary &amp; Fringe'!$F$300,"Calendar*")+SUMIFS('Salary &amp; Fringe'!$R$1:'Salary &amp; Fringe'!$R$300,'Salary &amp; Fringe'!$E$1:'Salary &amp; Fringe'!$E$300,"Grad",'Salary &amp; Fringe'!$F$1:'Salary &amp; Fringe'!$F$300,"Hourly")</f>
        <v>0</v>
      </c>
      <c r="E15" s="251">
        <f>SUMIFS('Salary &amp; Fringe'!$R$1:'Salary &amp; Fringe'!$R$300,'Salary &amp; Fringe'!$E$1:'Salary &amp; Fringe'!$E$300,"Grad",'Salary &amp; Fringe'!$F$1:'Salary &amp; Fringe'!$F$300,"Academic")*2</f>
        <v>0</v>
      </c>
      <c r="F15" s="251">
        <f>SUMIFS('Salary &amp; Fringe'!$R$1:'Salary &amp; Fringe'!$R$300,'Salary &amp; Fringe'!$E$1:'Salary &amp; Fringe'!$E$300,"Grad",'Salary &amp; Fringe'!$F$1:'Salary &amp; Fringe'!$F$300,"Summer")*2</f>
        <v>0</v>
      </c>
      <c r="G15" s="588">
        <f>SUMIF('Salary &amp; Fringe'!$E$1:$E$300,"Grad",'Salary &amp; Fringe'!$AB$1:$AB$300)</f>
        <v>0</v>
      </c>
      <c r="H15" s="588"/>
      <c r="I15" s="588">
        <f>SUMIF('Salary &amp; Fringe'!$E$1:$E$300,"Grad",'Salary &amp; Fringe'!$AL$1:$AL$300)</f>
        <v>0</v>
      </c>
      <c r="J15" s="588"/>
      <c r="K15" s="247">
        <f t="shared" ref="K15:K23" si="5">G15+I15</f>
        <v>0</v>
      </c>
    </row>
    <row r="16" spans="1:11" s="217" customFormat="1" ht="15" x14ac:dyDescent="0.25">
      <c r="A16" s="243"/>
      <c r="B16" s="580" t="s">
        <v>367</v>
      </c>
      <c r="C16" s="580"/>
      <c r="D16" s="251">
        <f>SUMIF('Salary &amp; Fringe'!$E$1:$E$300,"Undergrad",'Salary &amp; Fringe'!$R$1:$R$300)</f>
        <v>0</v>
      </c>
      <c r="E16" s="251">
        <v>0</v>
      </c>
      <c r="F16" s="251">
        <v>0</v>
      </c>
      <c r="G16" s="588">
        <f>SUMIF('Salary &amp; Fringe'!$E$1:$E$300,"Undergrad",'Salary &amp; Fringe'!$AB$1:$AB$300)</f>
        <v>0</v>
      </c>
      <c r="H16" s="588"/>
      <c r="I16" s="588">
        <f>SUMIF('Salary &amp; Fringe'!$E$1:$E$300,"Undergrad",'Salary &amp; Fringe'!$AL$1:$AL$300)</f>
        <v>0</v>
      </c>
      <c r="J16" s="588"/>
      <c r="K16" s="247">
        <f t="shared" si="5"/>
        <v>0</v>
      </c>
    </row>
    <row r="17" spans="1:11" s="217" customFormat="1" ht="15" x14ac:dyDescent="0.25">
      <c r="A17" s="251">
        <f>SUMIFS('Salary &amp; Fringe'!$I$1:$I$300,'Salary &amp; Fringe'!$E$1:$E$300,"Clerical", 'Salary &amp; Fringe'!$R$1:'Salary &amp; Fringe'!$R$300, "&gt;0")</f>
        <v>0</v>
      </c>
      <c r="B17" s="580" t="s">
        <v>348</v>
      </c>
      <c r="C17" s="580"/>
      <c r="D17" s="251">
        <f>SUMIFS('Salary &amp; Fringe'!$R$1:'Salary &amp; Fringe'!$R$300,'Salary &amp; Fringe'!$E$1:'Salary &amp; Fringe'!$E$300,"Clerical",'Salary &amp; Fringe'!$F$1:'Salary &amp; Fringe'!$F$300,"Calendar*")+SUMIFS('Salary &amp; Fringe'!$R$1:'Salary &amp; Fringe'!$R$300,'Salary &amp; Fringe'!$E$1:'Salary &amp; Fringe'!$E$300,"Clerical",'Salary &amp; Fringe'!$F$1:'Salary &amp; Fringe'!$F$300,"Hourly")</f>
        <v>0</v>
      </c>
      <c r="E17" s="251">
        <f>SUMIFS('Salary &amp; Fringe'!$R$1:'Salary &amp; Fringe'!$R$300,'Salary &amp; Fringe'!$E$1:'Salary &amp; Fringe'!$E$300,"Clerical",'Salary &amp; Fringe'!$F$1:'Salary &amp; Fringe'!$F$300,"Academic")</f>
        <v>0</v>
      </c>
      <c r="F17" s="251">
        <f>SUMIFS('Salary &amp; Fringe'!$R$1:'Salary &amp; Fringe'!$R$300,'Salary &amp; Fringe'!$E$1:'Salary &amp; Fringe'!$E$300,"Clerical",'Salary &amp; Fringe'!$F$1:'Salary &amp; Fringe'!$F$300,"Summer")</f>
        <v>0</v>
      </c>
      <c r="G17" s="588">
        <f>SUMIF('Salary &amp; Fringe'!$E$1:$E$300,"Clerical",'Salary &amp; Fringe'!$AB$1:$AB$300)</f>
        <v>0</v>
      </c>
      <c r="H17" s="588"/>
      <c r="I17" s="588">
        <f>SUMIF('Salary &amp; Fringe'!$E$1:$E$300,"Clerical",'Salary &amp; Fringe'!$AL$1:$AL$300)</f>
        <v>0</v>
      </c>
      <c r="J17" s="588"/>
      <c r="K17" s="247">
        <f t="shared" si="5"/>
        <v>0</v>
      </c>
    </row>
    <row r="18" spans="1:11" s="217" customFormat="1" ht="15" x14ac:dyDescent="0.25">
      <c r="A18" s="251">
        <f>SUMIFS('Salary &amp; Fringe'!$I$1:$I$300,'Salary &amp; Fringe'!$E$1:$E$300,"Other 1", 'Salary &amp; Fringe'!$R$1:'Salary &amp; Fringe'!$R$300, "&gt;0")</f>
        <v>0</v>
      </c>
      <c r="B18" s="580" t="str">
        <f>IF(G18&gt;0,(INDEX('Salary &amp; Fringe'!$B$1:$B$300,MATCH("Other 1",'Salary &amp; Fringe'!$E$1:$E$300,FALSE),1)),"")</f>
        <v/>
      </c>
      <c r="C18" s="580"/>
      <c r="D18" s="251">
        <f>SUMIFS('Salary &amp; Fringe'!$R$1:'Salary &amp; Fringe'!$R$300,'Salary &amp; Fringe'!$E$1:'Salary &amp; Fringe'!$E$300,"Other 1",'Salary &amp; Fringe'!$F$1:'Salary &amp; Fringe'!$F$300,"Calendar*")+SUMIFS('Salary &amp; Fringe'!$R$1:'Salary &amp; Fringe'!$R$300,'Salary &amp; Fringe'!$E$1:'Salary &amp; Fringe'!$E$300,"Other 1",'Salary &amp; Fringe'!$F$1:'Salary &amp; Fringe'!$F$300,"Hourly")</f>
        <v>0</v>
      </c>
      <c r="E18" s="251">
        <f>SUMIFS('Salary &amp; Fringe'!$R$1:'Salary &amp; Fringe'!$R$300,'Salary &amp; Fringe'!$E$1:'Salary &amp; Fringe'!$E$300,"Other 1",'Salary &amp; Fringe'!$F$1:'Salary &amp; Fringe'!$F$300,"Academic")</f>
        <v>0</v>
      </c>
      <c r="F18" s="251">
        <f>SUMIFS('Salary &amp; Fringe'!$R$1:'Salary &amp; Fringe'!$R$300,'Salary &amp; Fringe'!$E$1:'Salary &amp; Fringe'!$E$300,"Other 1",'Salary &amp; Fringe'!$F$1:'Salary &amp; Fringe'!$F$300,"Summer")</f>
        <v>0</v>
      </c>
      <c r="G18" s="588">
        <f>SUMIF('Salary &amp; Fringe'!$E$1:$E$300,"Other 1",'Salary &amp; Fringe'!$AB$1:$AB$300)</f>
        <v>0</v>
      </c>
      <c r="H18" s="588"/>
      <c r="I18" s="588">
        <f>SUMIF('Salary &amp; Fringe'!$E$1:$E$300,"Other 1",'Salary &amp; Fringe'!$AL$1:$AL$300)</f>
        <v>0</v>
      </c>
      <c r="J18" s="588"/>
      <c r="K18" s="247">
        <f t="shared" si="5"/>
        <v>0</v>
      </c>
    </row>
    <row r="19" spans="1:11" s="217" customFormat="1" ht="15" x14ac:dyDescent="0.25">
      <c r="A19" s="251">
        <f>SUMIFS('Salary &amp; Fringe'!$I$1:$I$300,'Salary &amp; Fringe'!$E$1:$E$300,"Other 2", 'Salary &amp; Fringe'!$R$1:'Salary &amp; Fringe'!$R$300, "&gt;0")</f>
        <v>0</v>
      </c>
      <c r="B19" s="580" t="str">
        <f>IF(G19&gt;0,(INDEX('Salary &amp; Fringe'!$B$1:$B$300,MATCH("Other 2",'Salary &amp; Fringe'!$E$1:$E$300,FALSE),1)),"")</f>
        <v/>
      </c>
      <c r="C19" s="580"/>
      <c r="D19" s="251">
        <f>SUMIFS('Salary &amp; Fringe'!$R$1:'Salary &amp; Fringe'!$R$300,'Salary &amp; Fringe'!$E$1:'Salary &amp; Fringe'!$E$300,"Other 2",'Salary &amp; Fringe'!$F$1:'Salary &amp; Fringe'!$F$300,"Calendar*")+SUMIFS('Salary &amp; Fringe'!$R$1:'Salary &amp; Fringe'!$R$300,'Salary &amp; Fringe'!$E$1:'Salary &amp; Fringe'!$E$300,"Other 2",'Salary &amp; Fringe'!$F$1:'Salary &amp; Fringe'!$F$300,"Hourly")</f>
        <v>0</v>
      </c>
      <c r="E19" s="251">
        <f>SUMIFS('Salary &amp; Fringe'!$R$1:'Salary &amp; Fringe'!$R$300,'Salary &amp; Fringe'!$E$1:'Salary &amp; Fringe'!$E$300,"Other 2",'Salary &amp; Fringe'!$F$1:'Salary &amp; Fringe'!$F$300,"Academic")</f>
        <v>0</v>
      </c>
      <c r="F19" s="251">
        <f>SUMIFS('Salary &amp; Fringe'!$R$1:'Salary &amp; Fringe'!$R$300,'Salary &amp; Fringe'!$E$1:'Salary &amp; Fringe'!$E$300,"Other 2",'Salary &amp; Fringe'!$F$1:'Salary &amp; Fringe'!$F$300,"Summer")</f>
        <v>0</v>
      </c>
      <c r="G19" s="588">
        <f>SUMIF('Salary &amp; Fringe'!$E$1:$E$300,"Other 2",'Salary &amp; Fringe'!$AB$1:$AB$300)</f>
        <v>0</v>
      </c>
      <c r="H19" s="588"/>
      <c r="I19" s="588">
        <f>SUMIF('Salary &amp; Fringe'!$E$1:$E$300,"Other 2",'Salary &amp; Fringe'!$AL$1:$AL$300)</f>
        <v>0</v>
      </c>
      <c r="J19" s="588"/>
      <c r="K19" s="247">
        <f t="shared" si="5"/>
        <v>0</v>
      </c>
    </row>
    <row r="20" spans="1:11" s="217" customFormat="1" ht="15" x14ac:dyDescent="0.25">
      <c r="A20" s="251">
        <f>SUMIFS('Salary &amp; Fringe'!$I$1:$I$300,'Salary &amp; Fringe'!$E$1:$E$300,"Other 3", 'Salary &amp; Fringe'!$R$1:'Salary &amp; Fringe'!$R$300, "&gt;0")</f>
        <v>0</v>
      </c>
      <c r="B20" s="580" t="str">
        <f>IF(G20&gt;0,(INDEX('Salary &amp; Fringe'!$B$1:$B$300,MATCH("Other 3",'Salary &amp; Fringe'!$E$1:$E$300,FALSE),1)),"")</f>
        <v/>
      </c>
      <c r="C20" s="580"/>
      <c r="D20" s="251">
        <f>SUMIFS('Salary &amp; Fringe'!$R$1:'Salary &amp; Fringe'!$R$300,'Salary &amp; Fringe'!$E$1:'Salary &amp; Fringe'!$E$300,"Other 3",'Salary &amp; Fringe'!$F$1:'Salary &amp; Fringe'!$F$300,"Calendar*")+SUMIFS('Salary &amp; Fringe'!$R$1:'Salary &amp; Fringe'!$R$300,'Salary &amp; Fringe'!$E$1:'Salary &amp; Fringe'!$E$300,"Other 3",'Salary &amp; Fringe'!$F$1:'Salary &amp; Fringe'!$F$300,"Hourly")</f>
        <v>0</v>
      </c>
      <c r="E20" s="251">
        <f>SUMIFS('Salary &amp; Fringe'!$R$1:'Salary &amp; Fringe'!$R$300,'Salary &amp; Fringe'!$E$1:'Salary &amp; Fringe'!$E$300,"Other 3",'Salary &amp; Fringe'!$F$1:'Salary &amp; Fringe'!$F$300,"Academic")</f>
        <v>0</v>
      </c>
      <c r="F20" s="251">
        <f>SUMIFS('Salary &amp; Fringe'!$R$1:'Salary &amp; Fringe'!$R$300,'Salary &amp; Fringe'!$E$1:'Salary &amp; Fringe'!$E$300,"Other 3",'Salary &amp; Fringe'!$F$1:'Salary &amp; Fringe'!$F$300,"Summer")</f>
        <v>0</v>
      </c>
      <c r="G20" s="588">
        <f>SUMIF('Salary &amp; Fringe'!$E$1:$E$300,"Other 3",'Salary &amp; Fringe'!$AB$1:$AB$300)</f>
        <v>0</v>
      </c>
      <c r="H20" s="588"/>
      <c r="I20" s="588">
        <f>SUMIF('Salary &amp; Fringe'!$E$1:$E$300,"Other 3",'Salary &amp; Fringe'!$AL$1:$AL$300)</f>
        <v>0</v>
      </c>
      <c r="J20" s="588"/>
      <c r="K20" s="247">
        <f t="shared" si="5"/>
        <v>0</v>
      </c>
    </row>
    <row r="21" spans="1:11" s="217" customFormat="1" ht="15" x14ac:dyDescent="0.25">
      <c r="A21" s="251">
        <f>SUMIFS('Salary &amp; Fringe'!$I$1:$I$300,'Salary &amp; Fringe'!$E$1:$E$300,"Other 4", 'Salary &amp; Fringe'!$R$1:'Salary &amp; Fringe'!$R$300, "&gt;0")</f>
        <v>0</v>
      </c>
      <c r="B21" s="580" t="str">
        <f>IF(G21&gt;0,(INDEX('Salary &amp; Fringe'!$B$1:$B$300,MATCH("Other 4",'Salary &amp; Fringe'!$E$1:$E$300,FALSE),1)),"")</f>
        <v/>
      </c>
      <c r="C21" s="580"/>
      <c r="D21" s="251">
        <f>SUMIFS('Salary &amp; Fringe'!$R$1:'Salary &amp; Fringe'!$R$300,'Salary &amp; Fringe'!$E$1:'Salary &amp; Fringe'!$E$300,"Other 4",'Salary &amp; Fringe'!$F$1:'Salary &amp; Fringe'!$F$300,"Calendar*")+SUMIFS('Salary &amp; Fringe'!$R$1:'Salary &amp; Fringe'!$R$300,'Salary &amp; Fringe'!$E$1:'Salary &amp; Fringe'!$E$300,"Other 4",'Salary &amp; Fringe'!$F$1:'Salary &amp; Fringe'!$F$300,"Hourly")</f>
        <v>0</v>
      </c>
      <c r="E21" s="251">
        <f>SUMIFS('Salary &amp; Fringe'!$R$1:'Salary &amp; Fringe'!$R$300,'Salary &amp; Fringe'!$E$1:'Salary &amp; Fringe'!$E$300,"Other 4",'Salary &amp; Fringe'!$F$1:'Salary &amp; Fringe'!$F$300,"Academic")</f>
        <v>0</v>
      </c>
      <c r="F21" s="251">
        <f>SUMIFS('Salary &amp; Fringe'!$R$1:'Salary &amp; Fringe'!$R$300,'Salary &amp; Fringe'!$E$1:'Salary &amp; Fringe'!$E$300,"Other 4",'Salary &amp; Fringe'!$F$1:'Salary &amp; Fringe'!$F$300,"Summer")</f>
        <v>0</v>
      </c>
      <c r="G21" s="588">
        <f>SUMIF('Salary &amp; Fringe'!$E$1:$E$300,"Other 4",'Salary &amp; Fringe'!$AB$1:$AB$300)</f>
        <v>0</v>
      </c>
      <c r="H21" s="588"/>
      <c r="I21" s="588">
        <f>SUMIF('Salary &amp; Fringe'!$E$1:$E$300,"Other 4",'Salary &amp; Fringe'!$AL$1:$AL$300)</f>
        <v>0</v>
      </c>
      <c r="J21" s="588"/>
      <c r="K21" s="247">
        <f t="shared" si="5"/>
        <v>0</v>
      </c>
    </row>
    <row r="22" spans="1:11" s="217" customFormat="1" ht="15" x14ac:dyDescent="0.25">
      <c r="A22" s="251">
        <f>SUMIFS('Salary &amp; Fringe'!$I$1:$I$300,'Salary &amp; Fringe'!$E$1:$E$300,"Other 5", 'Salary &amp; Fringe'!$R$1:'Salary &amp; Fringe'!$R$300, "&gt;0")</f>
        <v>0</v>
      </c>
      <c r="B22" s="580" t="str">
        <f>IF(G22&gt;0,(INDEX('Salary &amp; Fringe'!$B$1:$B$300,MATCH("Other 5",'Salary &amp; Fringe'!$E$1:$E$300,FALSE),1)),"")</f>
        <v/>
      </c>
      <c r="C22" s="580"/>
      <c r="D22" s="251">
        <f>SUMIFS('Salary &amp; Fringe'!$R$1:'Salary &amp; Fringe'!$R$300,'Salary &amp; Fringe'!$E$1:'Salary &amp; Fringe'!$E$300,"Other 5",'Salary &amp; Fringe'!$F$1:'Salary &amp; Fringe'!$F$300,"Calendar*")+SUMIFS('Salary &amp; Fringe'!$R$1:'Salary &amp; Fringe'!$R$300,'Salary &amp; Fringe'!$E$1:'Salary &amp; Fringe'!$E$300,"Other 5",'Salary &amp; Fringe'!$F$1:'Salary &amp; Fringe'!$F$300,"Hourly")</f>
        <v>0</v>
      </c>
      <c r="E22" s="251">
        <f>SUMIFS('Salary &amp; Fringe'!$R$1:'Salary &amp; Fringe'!$R$300,'Salary &amp; Fringe'!$E$1:'Salary &amp; Fringe'!$E$300,"Other 5",'Salary &amp; Fringe'!$F$1:'Salary &amp; Fringe'!$F$300,"Academic")</f>
        <v>0</v>
      </c>
      <c r="F22" s="251">
        <f>SUMIFS('Salary &amp; Fringe'!$R$1:'Salary &amp; Fringe'!$R$300,'Salary &amp; Fringe'!$E$1:'Salary &amp; Fringe'!$E$300,"Other 5",'Salary &amp; Fringe'!$F$1:'Salary &amp; Fringe'!$F$300,"Summer")</f>
        <v>0</v>
      </c>
      <c r="G22" s="588">
        <f>SUMIF('Salary &amp; Fringe'!$E$1:$E$300,"Other 5",'Salary &amp; Fringe'!$AB$1:$AB$300)</f>
        <v>0</v>
      </c>
      <c r="H22" s="588"/>
      <c r="I22" s="588">
        <f>SUMIF('Salary &amp; Fringe'!$E$1:$E$300,"Other 5",'Salary &amp; Fringe'!$AL$1:$AL$300)</f>
        <v>0</v>
      </c>
      <c r="J22" s="588"/>
      <c r="K22" s="247">
        <f t="shared" si="5"/>
        <v>0</v>
      </c>
    </row>
    <row r="23" spans="1:11" s="217" customFormat="1" thickBot="1" x14ac:dyDescent="0.3">
      <c r="A23" s="234">
        <f>SUMIFS('Salary &amp; Fringe'!$I$1:$I$300,'Salary &amp; Fringe'!$E$1:$E$300,"Other 6", 'Salary &amp; Fringe'!$R$1:'Salary &amp; Fringe'!$R$300, "&gt;0")</f>
        <v>0</v>
      </c>
      <c r="B23" s="580" t="str">
        <f>IF(G23&gt;0,(INDEX('Salary &amp; Fringe'!$B$1:$B$300,MATCH("Other 6",'Salary &amp; Fringe'!$E$1:$E$300,FALSE),1)),"")</f>
        <v/>
      </c>
      <c r="C23" s="580"/>
      <c r="D23" s="251">
        <f>SUMIFS('Salary &amp; Fringe'!$R$1:'Salary &amp; Fringe'!$R$300,'Salary &amp; Fringe'!$E$1:'Salary &amp; Fringe'!$E$300,"Other 6",'Salary &amp; Fringe'!$F$1:'Salary &amp; Fringe'!$F$300,"Calendar*")+SUMIFS('Salary &amp; Fringe'!$R$1:'Salary &amp; Fringe'!$R$300,'Salary &amp; Fringe'!$E$1:'Salary &amp; Fringe'!$E$300,"Other 6",'Salary &amp; Fringe'!$F$1:'Salary &amp; Fringe'!$F$300,"Hourly")</f>
        <v>0</v>
      </c>
      <c r="E23" s="251">
        <f>SUMIFS('Salary &amp; Fringe'!$R$1:'Salary &amp; Fringe'!$R$300,'Salary &amp; Fringe'!$E$1:'Salary &amp; Fringe'!$E$300,"Other 6",'Salary &amp; Fringe'!$F$1:'Salary &amp; Fringe'!$F$300,"Academic")</f>
        <v>0</v>
      </c>
      <c r="F23" s="251">
        <f>SUMIFS('Salary &amp; Fringe'!$R$1:'Salary &amp; Fringe'!$R$300,'Salary &amp; Fringe'!$E$1:'Salary &amp; Fringe'!$E$300,"Other 6",'Salary &amp; Fringe'!$F$1:'Salary &amp; Fringe'!$F$300,"Summer")</f>
        <v>0</v>
      </c>
      <c r="G23" s="588">
        <f>SUMIF('Salary &amp; Fringe'!$E$1:$E$300,"Other 6",'Salary &amp; Fringe'!$AB$1:$AB$300)</f>
        <v>0</v>
      </c>
      <c r="H23" s="588"/>
      <c r="I23" s="588">
        <f>SUMIF('Salary &amp; Fringe'!$E$1:$E$300,"Other 6",'Salary &amp; Fringe'!$AL$1:$AL$300)</f>
        <v>0</v>
      </c>
      <c r="J23" s="588"/>
      <c r="K23" s="247">
        <f t="shared" si="5"/>
        <v>0</v>
      </c>
    </row>
    <row r="24" spans="1:11" s="218" customFormat="1" thickBot="1" x14ac:dyDescent="0.3">
      <c r="A24" s="237">
        <f>SUM(A14:A23)</f>
        <v>0</v>
      </c>
      <c r="B24" s="589" t="s">
        <v>376</v>
      </c>
      <c r="C24" s="590"/>
      <c r="D24" s="591"/>
      <c r="H24" s="583" t="s">
        <v>349</v>
      </c>
      <c r="I24" s="584"/>
      <c r="J24" s="585"/>
      <c r="K24" s="240">
        <f>SUM(K14:K23)</f>
        <v>0</v>
      </c>
    </row>
    <row r="25" spans="1:11" s="217" customFormat="1" thickBot="1" x14ac:dyDescent="0.3">
      <c r="A25" s="224"/>
      <c r="H25" s="583" t="s">
        <v>310</v>
      </c>
      <c r="I25" s="584"/>
      <c r="J25" s="585"/>
      <c r="K25" s="235">
        <f>K11+K24</f>
        <v>0</v>
      </c>
    </row>
    <row r="26" spans="1:11" x14ac:dyDescent="0.25">
      <c r="A26" s="126" t="s">
        <v>298</v>
      </c>
    </row>
    <row r="27" spans="1:11" x14ac:dyDescent="0.25">
      <c r="A27" s="593" t="s">
        <v>350</v>
      </c>
      <c r="B27" s="593"/>
      <c r="C27" s="593"/>
      <c r="D27" s="593"/>
      <c r="E27" s="593"/>
      <c r="F27" s="593"/>
      <c r="G27" s="593"/>
      <c r="H27" s="593"/>
      <c r="I27" s="593"/>
      <c r="J27" s="593"/>
      <c r="K27" s="249" t="s">
        <v>346</v>
      </c>
    </row>
    <row r="28" spans="1:11" s="217" customFormat="1" ht="15" x14ac:dyDescent="0.25">
      <c r="A28" s="592" t="str">
        <f>IF(ISBLANK(Budget!P47),"",Budget!A47)</f>
        <v/>
      </c>
      <c r="B28" s="592"/>
      <c r="C28" s="592"/>
      <c r="D28" s="592"/>
      <c r="E28" s="592"/>
      <c r="F28" s="592"/>
      <c r="G28" s="592"/>
      <c r="H28" s="592"/>
      <c r="I28" s="592"/>
      <c r="J28" s="592"/>
      <c r="K28" s="247">
        <f>IF(Budget!P47&gt;0,Budget!P47,0)</f>
        <v>0</v>
      </c>
    </row>
    <row r="29" spans="1:11" s="217" customFormat="1" ht="15" x14ac:dyDescent="0.25">
      <c r="A29" s="592" t="str">
        <f>IF(ISBLANK(Budget!P48),"",Budget!A48)</f>
        <v/>
      </c>
      <c r="B29" s="592"/>
      <c r="C29" s="592"/>
      <c r="D29" s="592"/>
      <c r="E29" s="592"/>
      <c r="F29" s="592"/>
      <c r="G29" s="592"/>
      <c r="H29" s="592"/>
      <c r="I29" s="592"/>
      <c r="J29" s="592"/>
      <c r="K29" s="247">
        <f>IF(Budget!P48&gt;0,Budget!P48,0)</f>
        <v>0</v>
      </c>
    </row>
    <row r="30" spans="1:11" s="217" customFormat="1" ht="15" x14ac:dyDescent="0.25">
      <c r="A30" s="592" t="str">
        <f>IF(ISBLANK(Budget!P49),"",Budget!A49)</f>
        <v/>
      </c>
      <c r="B30" s="592"/>
      <c r="C30" s="592"/>
      <c r="D30" s="592"/>
      <c r="E30" s="592"/>
      <c r="F30" s="592"/>
      <c r="G30" s="592"/>
      <c r="H30" s="592"/>
      <c r="I30" s="592"/>
      <c r="J30" s="592"/>
      <c r="K30" s="247">
        <f>IF(Budget!P49&gt;0,Budget!P49,0)</f>
        <v>0</v>
      </c>
    </row>
    <row r="31" spans="1:11" s="217" customFormat="1" ht="15" x14ac:dyDescent="0.25">
      <c r="A31" s="592" t="str">
        <f>IF(ISBLANK(Budget!P50),"",Budget!A50)</f>
        <v/>
      </c>
      <c r="B31" s="592"/>
      <c r="C31" s="592"/>
      <c r="D31" s="592"/>
      <c r="E31" s="592"/>
      <c r="F31" s="592"/>
      <c r="G31" s="592"/>
      <c r="H31" s="592"/>
      <c r="I31" s="592"/>
      <c r="J31" s="592"/>
      <c r="K31" s="247">
        <f>IF(Budget!P50&gt;0,Budget!P50,0)</f>
        <v>0</v>
      </c>
    </row>
    <row r="32" spans="1:11" s="217" customFormat="1" thickBot="1" x14ac:dyDescent="0.3">
      <c r="A32" s="592" t="str">
        <f>IF(ISBLANK(Budget!P51),"",Budget!A51)</f>
        <v/>
      </c>
      <c r="B32" s="592"/>
      <c r="C32" s="592"/>
      <c r="D32" s="592"/>
      <c r="E32" s="592"/>
      <c r="F32" s="592"/>
      <c r="G32" s="592"/>
      <c r="H32" s="592"/>
      <c r="I32" s="592"/>
      <c r="J32" s="592"/>
      <c r="K32" s="247">
        <f>IF(Budget!P51&gt;0,Budget!P51,0)</f>
        <v>0</v>
      </c>
    </row>
    <row r="33" spans="1:12" s="217" customFormat="1" thickBot="1" x14ac:dyDescent="0.3">
      <c r="J33" s="225" t="s">
        <v>58</v>
      </c>
      <c r="K33" s="235">
        <f>TotalEquipment6</f>
        <v>0</v>
      </c>
    </row>
    <row r="34" spans="1:12" s="217" customFormat="1" ht="15" x14ac:dyDescent="0.25">
      <c r="J34" s="226"/>
      <c r="K34" s="227"/>
    </row>
    <row r="35" spans="1:12" x14ac:dyDescent="0.25">
      <c r="A35" s="228" t="s">
        <v>299</v>
      </c>
      <c r="B35" s="228"/>
      <c r="C35" s="228"/>
      <c r="D35" s="228"/>
      <c r="E35" s="228"/>
      <c r="F35" s="228"/>
      <c r="G35" s="228"/>
      <c r="H35" s="228"/>
      <c r="I35" s="228"/>
      <c r="J35" s="229"/>
      <c r="K35" s="249" t="s">
        <v>346</v>
      </c>
      <c r="L35" s="221"/>
    </row>
    <row r="36" spans="1:12" s="217" customFormat="1" ht="15" x14ac:dyDescent="0.25">
      <c r="A36" s="594" t="s">
        <v>351</v>
      </c>
      <c r="B36" s="595"/>
      <c r="C36" s="595"/>
      <c r="D36" s="595"/>
      <c r="E36" s="595"/>
      <c r="F36" s="595"/>
      <c r="G36" s="595"/>
      <c r="H36" s="595"/>
      <c r="I36" s="595"/>
      <c r="J36" s="596"/>
      <c r="K36" s="238">
        <f>Budget!P39</f>
        <v>0</v>
      </c>
    </row>
    <row r="37" spans="1:12" s="217" customFormat="1" thickBot="1" x14ac:dyDescent="0.3">
      <c r="A37" s="594" t="s">
        <v>352</v>
      </c>
      <c r="B37" s="595"/>
      <c r="C37" s="595"/>
      <c r="D37" s="595"/>
      <c r="E37" s="595"/>
      <c r="F37" s="595"/>
      <c r="G37" s="595"/>
      <c r="H37" s="595"/>
      <c r="I37" s="595"/>
      <c r="J37" s="596"/>
      <c r="K37" s="238">
        <f>Budget!P44</f>
        <v>0</v>
      </c>
    </row>
    <row r="38" spans="1:12" s="217" customFormat="1" thickBot="1" x14ac:dyDescent="0.3">
      <c r="C38" s="597"/>
      <c r="D38" s="597"/>
      <c r="J38" s="248" t="s">
        <v>353</v>
      </c>
      <c r="K38" s="235">
        <f>SUM(K36:K37)</f>
        <v>0</v>
      </c>
    </row>
    <row r="39" spans="1:12" s="217" customFormat="1" ht="15" x14ac:dyDescent="0.25">
      <c r="K39" s="252"/>
    </row>
    <row r="40" spans="1:12" x14ac:dyDescent="0.25">
      <c r="A40" s="228" t="s">
        <v>300</v>
      </c>
      <c r="B40" s="228"/>
      <c r="C40" s="228"/>
      <c r="D40" s="228"/>
      <c r="E40" s="228"/>
      <c r="F40" s="228"/>
      <c r="G40" s="228"/>
      <c r="H40" s="228"/>
      <c r="I40" s="228"/>
      <c r="J40" s="229"/>
      <c r="K40" s="249" t="s">
        <v>346</v>
      </c>
      <c r="L40" s="221"/>
    </row>
    <row r="41" spans="1:12" s="217" customFormat="1" ht="15" x14ac:dyDescent="0.25">
      <c r="A41" s="592" t="s">
        <v>315</v>
      </c>
      <c r="B41" s="592"/>
      <c r="C41" s="592"/>
      <c r="D41" s="592"/>
      <c r="E41" s="592"/>
      <c r="F41" s="592"/>
      <c r="G41" s="592"/>
      <c r="H41" s="592"/>
      <c r="I41" s="592"/>
      <c r="J41" s="592"/>
      <c r="K41" s="247">
        <f>SUMIF(Budget!$A$2:$A$504,"PS Tuition/Fees/Health Insurance",Budget!$P$2:$P$504)</f>
        <v>0</v>
      </c>
    </row>
    <row r="42" spans="1:12" s="217" customFormat="1" ht="15" x14ac:dyDescent="0.25">
      <c r="A42" s="592" t="s">
        <v>316</v>
      </c>
      <c r="B42" s="592"/>
      <c r="C42" s="592"/>
      <c r="D42" s="592"/>
      <c r="E42" s="592"/>
      <c r="F42" s="592"/>
      <c r="G42" s="592"/>
      <c r="H42" s="592"/>
      <c r="I42" s="592"/>
      <c r="J42" s="592"/>
      <c r="K42" s="247">
        <f>SUMIF(Budget!$A$2:$A$504,"PS Stipends",Budget!$P$2:$P$504)</f>
        <v>0</v>
      </c>
    </row>
    <row r="43" spans="1:12" s="217" customFormat="1" ht="15" x14ac:dyDescent="0.25">
      <c r="A43" s="592" t="s">
        <v>317</v>
      </c>
      <c r="B43" s="592"/>
      <c r="C43" s="592"/>
      <c r="D43" s="592"/>
      <c r="E43" s="592"/>
      <c r="F43" s="592"/>
      <c r="G43" s="592"/>
      <c r="H43" s="592"/>
      <c r="I43" s="592"/>
      <c r="J43" s="592"/>
      <c r="K43" s="247">
        <f>SUMIF(Budget!$A$2:$A$504,"PS Travel",Budget!$P$2:$P$504)</f>
        <v>0</v>
      </c>
    </row>
    <row r="44" spans="1:12" s="217" customFormat="1" ht="15" x14ac:dyDescent="0.25">
      <c r="A44" s="592" t="s">
        <v>318</v>
      </c>
      <c r="B44" s="592"/>
      <c r="C44" s="592"/>
      <c r="D44" s="592"/>
      <c r="E44" s="592"/>
      <c r="F44" s="592"/>
      <c r="G44" s="592"/>
      <c r="H44" s="592"/>
      <c r="I44" s="592"/>
      <c r="J44" s="592"/>
      <c r="K44" s="247">
        <f>SUMIF(Budget!$A$2:$A$504,"PS Subsistence",Budget!$P$2:$P$504)</f>
        <v>0</v>
      </c>
    </row>
    <row r="45" spans="1:12" s="217" customFormat="1" thickBot="1" x14ac:dyDescent="0.3">
      <c r="A45" s="592" t="s">
        <v>319</v>
      </c>
      <c r="B45" s="599"/>
      <c r="C45" s="592"/>
      <c r="D45" s="592"/>
      <c r="E45" s="592"/>
      <c r="F45" s="592"/>
      <c r="G45" s="592"/>
      <c r="H45" s="592"/>
      <c r="I45" s="592"/>
      <c r="J45" s="592"/>
      <c r="K45" s="236">
        <f>SUMIF(Budget!$A$2:$A$504,"PS Other",Budget!$P$2:$P$504)</f>
        <v>0</v>
      </c>
    </row>
    <row r="46" spans="1:12" s="217" customFormat="1" thickBot="1" x14ac:dyDescent="0.3">
      <c r="A46" s="231" t="s">
        <v>354</v>
      </c>
      <c r="B46" s="244"/>
      <c r="C46" s="220"/>
      <c r="D46" s="220"/>
      <c r="H46" s="600" t="s">
        <v>355</v>
      </c>
      <c r="I46" s="600"/>
      <c r="J46" s="583"/>
      <c r="K46" s="235">
        <f>SUM(K41:K45)</f>
        <v>0</v>
      </c>
    </row>
    <row r="47" spans="1:12" s="217" customFormat="1" ht="15" customHeight="1" x14ac:dyDescent="0.25">
      <c r="C47" s="597"/>
      <c r="D47" s="597"/>
      <c r="K47" s="221"/>
    </row>
    <row r="48" spans="1:12" x14ac:dyDescent="0.25">
      <c r="A48" s="126" t="s">
        <v>301</v>
      </c>
      <c r="K48" s="230" t="s">
        <v>346</v>
      </c>
    </row>
    <row r="49" spans="1:12" s="217" customFormat="1" ht="15" x14ac:dyDescent="0.25">
      <c r="A49" s="601" t="s">
        <v>120</v>
      </c>
      <c r="B49" s="601"/>
      <c r="C49" s="601"/>
      <c r="D49" s="601"/>
      <c r="E49" s="601"/>
      <c r="F49" s="601"/>
      <c r="G49" s="601"/>
      <c r="H49" s="601"/>
      <c r="I49" s="601"/>
      <c r="J49" s="601"/>
      <c r="K49" s="247">
        <f>SUMIF(Budget!$A$2:$A$504,"Materials &amp; Supplies",Budget!$P$2:$P$504)</f>
        <v>0</v>
      </c>
    </row>
    <row r="50" spans="1:12" s="217" customFormat="1" ht="15" x14ac:dyDescent="0.25">
      <c r="A50" s="601" t="s">
        <v>322</v>
      </c>
      <c r="B50" s="601"/>
      <c r="C50" s="601"/>
      <c r="D50" s="601"/>
      <c r="E50" s="601"/>
      <c r="F50" s="601"/>
      <c r="G50" s="601"/>
      <c r="H50" s="601"/>
      <c r="I50" s="601"/>
      <c r="J50" s="601"/>
      <c r="K50" s="247">
        <f>SUMIF(Budget!$A$2:$A$504,"Publication Costs/Page Charges",Budget!$P$2:$P$504)</f>
        <v>0</v>
      </c>
    </row>
    <row r="51" spans="1:12" s="217" customFormat="1" ht="15" x14ac:dyDescent="0.25">
      <c r="A51" s="601" t="s">
        <v>122</v>
      </c>
      <c r="B51" s="601"/>
      <c r="C51" s="601"/>
      <c r="D51" s="601"/>
      <c r="E51" s="601"/>
      <c r="F51" s="601"/>
      <c r="G51" s="601"/>
      <c r="H51" s="601"/>
      <c r="I51" s="601"/>
      <c r="J51" s="601"/>
      <c r="K51" s="247">
        <f>SUMIF(Budget!$A$2:$A$504,"Consultant Services",Budget!$P$2:$P$504)</f>
        <v>0</v>
      </c>
    </row>
    <row r="52" spans="1:12" s="217" customFormat="1" ht="15" x14ac:dyDescent="0.25">
      <c r="A52" s="601" t="s">
        <v>323</v>
      </c>
      <c r="B52" s="601"/>
      <c r="C52" s="601"/>
      <c r="D52" s="601"/>
      <c r="E52" s="601"/>
      <c r="F52" s="601"/>
      <c r="G52" s="601"/>
      <c r="H52" s="601"/>
      <c r="I52" s="601"/>
      <c r="J52" s="601"/>
      <c r="K52" s="247">
        <f>SUMIF(Budget!$A$2:$A$504,"Computer (ADPE) Services",Budget!$P$2:$P$504)</f>
        <v>0</v>
      </c>
    </row>
    <row r="53" spans="1:12" s="217" customFormat="1" ht="15" x14ac:dyDescent="0.25">
      <c r="A53" s="601" t="s">
        <v>360</v>
      </c>
      <c r="B53" s="601"/>
      <c r="C53" s="601"/>
      <c r="D53" s="601"/>
      <c r="E53" s="601"/>
      <c r="F53" s="601"/>
      <c r="G53" s="601"/>
      <c r="H53" s="601"/>
      <c r="I53" s="601"/>
      <c r="J53" s="601"/>
      <c r="K53" s="247">
        <f ca="1">TotalSubs6+TotalMulti6+SUMIF(Budget!$A$2:$A$504,"Vendor Contract",Budget!$P$2:$P$504)+SUMIF(Budget!$A$2:$A$504,"Service Agreement",Budget!$P$2:$P$504)</f>
        <v>0</v>
      </c>
    </row>
    <row r="54" spans="1:12" s="217" customFormat="1" x14ac:dyDescent="0.25">
      <c r="A54" s="601" t="s">
        <v>325</v>
      </c>
      <c r="B54" s="601"/>
      <c r="C54" s="601"/>
      <c r="D54" s="601"/>
      <c r="E54" s="601"/>
      <c r="F54" s="601"/>
      <c r="G54" s="601"/>
      <c r="H54" s="601"/>
      <c r="I54" s="601"/>
      <c r="J54" s="601"/>
      <c r="K54" s="242">
        <f>SUMIF(Budget!$A$2:$A$504,"Other Rentals",Budget!$P$2:$P$504)+SUMIF(Budget!$A$2:$A$504,"Space Rentals",Budget!$P$2:$P$504)+SUMIF(Budget!$A$2:$A$504,"Equipment or Facility Rental/User Fees",Budget!$P$2:$P$504)</f>
        <v>0</v>
      </c>
    </row>
    <row r="55" spans="1:12" s="217" customFormat="1" ht="15" x14ac:dyDescent="0.25">
      <c r="A55" s="601" t="s">
        <v>326</v>
      </c>
      <c r="B55" s="601"/>
      <c r="C55" s="601"/>
      <c r="D55" s="601"/>
      <c r="E55" s="601"/>
      <c r="F55" s="601"/>
      <c r="G55" s="601"/>
      <c r="H55" s="601"/>
      <c r="I55" s="601"/>
      <c r="J55" s="601"/>
      <c r="K55" s="247">
        <f>SUMIF(Budget!$A$2:$A$504,"Alterations and Renovations",Budget!$P$2:$P$504)</f>
        <v>0</v>
      </c>
    </row>
    <row r="56" spans="1:12" s="217" customFormat="1" ht="15" x14ac:dyDescent="0.25">
      <c r="A56" s="598" t="s">
        <v>379</v>
      </c>
      <c r="B56" s="598"/>
      <c r="C56" s="598"/>
      <c r="D56" s="598"/>
      <c r="E56" s="598"/>
      <c r="F56" s="598"/>
      <c r="G56" s="598"/>
      <c r="H56" s="598"/>
      <c r="I56" s="598"/>
      <c r="J56" s="598"/>
      <c r="K56" s="247">
        <f>TotalGSR6</f>
        <v>0</v>
      </c>
    </row>
    <row r="57" spans="1:12" s="217" customFormat="1" ht="15" x14ac:dyDescent="0.25">
      <c r="A57" s="598" t="s">
        <v>380</v>
      </c>
      <c r="B57" s="598"/>
      <c r="C57" s="598"/>
      <c r="D57" s="598"/>
      <c r="E57" s="598"/>
      <c r="F57" s="598"/>
      <c r="G57" s="598"/>
      <c r="H57" s="598"/>
      <c r="I57" s="598"/>
      <c r="J57" s="598"/>
      <c r="K57" s="247">
        <f>SUMIF(Budget!$A$2:$A$504,"Other",Budget!$P$2:$P$504)+SUMIF(Budget!$A$2:$A$504,"Other Maintenance Fees",Budget!$P$2:$P$504)</f>
        <v>0</v>
      </c>
    </row>
    <row r="58" spans="1:12" s="217" customFormat="1" thickBot="1" x14ac:dyDescent="0.3">
      <c r="A58" s="602" t="s">
        <v>383</v>
      </c>
      <c r="B58" s="602"/>
      <c r="C58" s="602"/>
      <c r="D58" s="602"/>
      <c r="E58" s="602"/>
      <c r="F58" s="602"/>
      <c r="G58" s="602"/>
      <c r="H58" s="602"/>
      <c r="I58" s="602"/>
      <c r="J58" s="602"/>
      <c r="K58" s="236">
        <v>0</v>
      </c>
    </row>
    <row r="59" spans="1:12" s="217" customFormat="1" ht="15" customHeight="1" thickBot="1" x14ac:dyDescent="0.3">
      <c r="I59" s="600" t="s">
        <v>21</v>
      </c>
      <c r="J59" s="583"/>
      <c r="K59" s="235">
        <f ca="1">SUM(K49:K58)</f>
        <v>0</v>
      </c>
    </row>
    <row r="60" spans="1:12" s="217" customFormat="1" ht="15" x14ac:dyDescent="0.25">
      <c r="K60" s="252"/>
    </row>
    <row r="61" spans="1:12" ht="16.5" thickBot="1" x14ac:dyDescent="0.3">
      <c r="A61" s="126" t="s">
        <v>302</v>
      </c>
      <c r="K61" s="230" t="s">
        <v>346</v>
      </c>
      <c r="L61" s="221"/>
    </row>
    <row r="62" spans="1:12" s="217" customFormat="1" ht="15" customHeight="1" thickBot="1" x14ac:dyDescent="0.3">
      <c r="A62" s="583" t="s">
        <v>359</v>
      </c>
      <c r="B62" s="584"/>
      <c r="C62" s="584"/>
      <c r="D62" s="584"/>
      <c r="E62" s="584"/>
      <c r="F62" s="584"/>
      <c r="G62" s="584"/>
      <c r="H62" s="584"/>
      <c r="I62" s="584"/>
      <c r="J62" s="584"/>
      <c r="K62" s="235">
        <f ca="1">K25+K33+K38+K46+K59</f>
        <v>0</v>
      </c>
    </row>
    <row r="63" spans="1:12" s="217" customFormat="1" ht="15" x14ac:dyDescent="0.25">
      <c r="K63" s="252"/>
    </row>
    <row r="64" spans="1:12" x14ac:dyDescent="0.25">
      <c r="A64" s="126" t="s">
        <v>303</v>
      </c>
    </row>
    <row r="65" spans="1:11" s="217" customFormat="1" ht="15" x14ac:dyDescent="0.25">
      <c r="A65" s="587" t="s">
        <v>357</v>
      </c>
      <c r="B65" s="587"/>
      <c r="C65" s="587"/>
      <c r="D65" s="587"/>
      <c r="E65" s="587"/>
      <c r="F65" s="587" t="s">
        <v>358</v>
      </c>
      <c r="G65" s="587"/>
      <c r="H65" s="587"/>
      <c r="I65" s="587"/>
      <c r="J65" s="587"/>
      <c r="K65" s="249" t="s">
        <v>346</v>
      </c>
    </row>
    <row r="66" spans="1:11" s="217" customFormat="1" ht="15" x14ac:dyDescent="0.25">
      <c r="A66" s="603" t="str">
        <f>Budget!P105</f>
        <v xml:space="preserve"> </v>
      </c>
      <c r="B66" s="603"/>
      <c r="C66" s="603"/>
      <c r="D66" s="603"/>
      <c r="E66" s="603"/>
      <c r="F66" s="588">
        <f ca="1">Budget!P101</f>
        <v>0</v>
      </c>
      <c r="G66" s="588"/>
      <c r="H66" s="588"/>
      <c r="I66" s="588"/>
      <c r="J66" s="588"/>
      <c r="K66" s="247" t="e">
        <f ca="1">ROUND((A66*F66),0)</f>
        <v>#VALUE!</v>
      </c>
    </row>
    <row r="67" spans="1:11" s="217" customFormat="1" ht="15" x14ac:dyDescent="0.25">
      <c r="A67" s="577"/>
      <c r="B67" s="577"/>
      <c r="C67" s="577"/>
      <c r="D67" s="577"/>
      <c r="E67" s="577"/>
      <c r="F67" s="578"/>
      <c r="G67" s="578"/>
      <c r="H67" s="578"/>
      <c r="I67" s="578"/>
      <c r="J67" s="578"/>
      <c r="K67" s="253">
        <f t="shared" ref="K67:K68" si="6">ROUND((A67*F67),0)</f>
        <v>0</v>
      </c>
    </row>
    <row r="68" spans="1:11" s="217" customFormat="1" ht="15" x14ac:dyDescent="0.25">
      <c r="A68" s="577"/>
      <c r="B68" s="577"/>
      <c r="C68" s="577"/>
      <c r="D68" s="577"/>
      <c r="E68" s="577"/>
      <c r="F68" s="578"/>
      <c r="G68" s="578"/>
      <c r="H68" s="578"/>
      <c r="I68" s="578"/>
      <c r="J68" s="578"/>
      <c r="K68" s="253">
        <f t="shared" si="6"/>
        <v>0</v>
      </c>
    </row>
    <row r="69" spans="1:11" s="217" customFormat="1" thickBot="1" x14ac:dyDescent="0.3">
      <c r="A69" s="577"/>
      <c r="B69" s="577"/>
      <c r="C69" s="577"/>
      <c r="D69" s="577"/>
      <c r="E69" s="577"/>
      <c r="F69" s="578"/>
      <c r="G69" s="578"/>
      <c r="H69" s="578"/>
      <c r="I69" s="578"/>
      <c r="J69" s="578"/>
      <c r="K69" s="253">
        <f>ROUND((A69*F69),0)</f>
        <v>0</v>
      </c>
    </row>
    <row r="70" spans="1:11" s="217" customFormat="1" thickBot="1" x14ac:dyDescent="0.3">
      <c r="I70" s="583" t="s">
        <v>27</v>
      </c>
      <c r="J70" s="584"/>
      <c r="K70" s="235" t="e">
        <f ca="1">SUM(K66:K69)</f>
        <v>#VALUE!</v>
      </c>
    </row>
    <row r="71" spans="1:11" s="217" customFormat="1" ht="15" x14ac:dyDescent="0.25">
      <c r="K71" s="252"/>
    </row>
    <row r="72" spans="1:11" ht="16.5" thickBot="1" x14ac:dyDescent="0.3">
      <c r="A72" s="126" t="s">
        <v>304</v>
      </c>
      <c r="K72" s="232" t="s">
        <v>346</v>
      </c>
    </row>
    <row r="73" spans="1:11" s="217" customFormat="1" thickBot="1" x14ac:dyDescent="0.3">
      <c r="A73" s="583" t="s">
        <v>356</v>
      </c>
      <c r="B73" s="584"/>
      <c r="C73" s="584"/>
      <c r="D73" s="584"/>
      <c r="E73" s="584"/>
      <c r="F73" s="584"/>
      <c r="G73" s="584"/>
      <c r="H73" s="584"/>
      <c r="I73" s="584"/>
      <c r="J73" s="584"/>
      <c r="K73" s="235" t="e">
        <f ca="1">K62+K70</f>
        <v>#VALUE!</v>
      </c>
    </row>
    <row r="74" spans="1:11" s="217" customFormat="1" ht="15" x14ac:dyDescent="0.25">
      <c r="K74" s="252"/>
    </row>
    <row r="75" spans="1:11" ht="16.5" thickBot="1" x14ac:dyDescent="0.3">
      <c r="A75" s="126" t="s">
        <v>305</v>
      </c>
      <c r="K75" s="230" t="s">
        <v>346</v>
      </c>
    </row>
    <row r="76" spans="1:11" s="217" customFormat="1" thickBot="1" x14ac:dyDescent="0.3">
      <c r="A76" s="604"/>
      <c r="B76" s="605"/>
      <c r="C76" s="605"/>
      <c r="D76" s="605"/>
      <c r="E76" s="605"/>
      <c r="F76" s="605"/>
      <c r="G76" s="605"/>
      <c r="H76" s="605"/>
      <c r="I76" s="605"/>
      <c r="J76" s="605"/>
      <c r="K76" s="245"/>
    </row>
    <row r="78" spans="1:11" ht="16.5" thickBot="1" x14ac:dyDescent="0.3"/>
    <row r="79" spans="1:11" x14ac:dyDescent="0.25">
      <c r="A79" s="254" t="s">
        <v>364</v>
      </c>
      <c r="B79" s="255"/>
      <c r="C79" s="255"/>
      <c r="D79" s="255"/>
      <c r="E79" s="255"/>
      <c r="F79" s="255"/>
      <c r="G79" s="255"/>
      <c r="H79" s="255"/>
      <c r="I79" s="255"/>
      <c r="J79" s="255"/>
      <c r="K79" s="256"/>
    </row>
    <row r="80" spans="1:11" x14ac:dyDescent="0.25">
      <c r="A80" s="257" t="s">
        <v>369</v>
      </c>
      <c r="B80" s="258"/>
      <c r="C80" s="258"/>
      <c r="D80" s="258"/>
      <c r="E80" s="258"/>
      <c r="F80" s="258"/>
      <c r="G80" s="258"/>
      <c r="H80" s="258"/>
      <c r="I80" s="258"/>
      <c r="J80" s="258"/>
      <c r="K80" s="259"/>
    </row>
    <row r="81" spans="1:11" x14ac:dyDescent="0.25">
      <c r="A81" s="257" t="s">
        <v>368</v>
      </c>
      <c r="B81" s="258"/>
      <c r="C81" s="258"/>
      <c r="D81" s="258"/>
      <c r="E81" s="258"/>
      <c r="F81" s="258"/>
      <c r="G81" s="258"/>
      <c r="H81" s="258"/>
      <c r="I81" s="258"/>
      <c r="J81" s="258"/>
      <c r="K81" s="259"/>
    </row>
    <row r="82" spans="1:11" x14ac:dyDescent="0.25">
      <c r="A82" s="257" t="s">
        <v>385</v>
      </c>
      <c r="B82" s="258"/>
      <c r="C82" s="258"/>
      <c r="D82" s="258"/>
      <c r="E82" s="258"/>
      <c r="F82" s="258"/>
      <c r="G82" s="258"/>
      <c r="H82" s="258"/>
      <c r="I82" s="258"/>
      <c r="J82" s="258"/>
      <c r="K82" s="259"/>
    </row>
    <row r="83" spans="1:11" ht="16.5" thickBot="1" x14ac:dyDescent="0.3">
      <c r="A83" s="260" t="s">
        <v>378</v>
      </c>
      <c r="B83" s="261"/>
      <c r="C83" s="261"/>
      <c r="D83" s="261"/>
      <c r="E83" s="261"/>
      <c r="F83" s="261"/>
      <c r="G83" s="261"/>
      <c r="H83" s="261"/>
      <c r="I83" s="261"/>
      <c r="J83" s="261"/>
      <c r="K83" s="262"/>
    </row>
  </sheetData>
  <sheetProtection algorithmName="SHA-512" hashValue="SuRf7iSdX7wbvtCngs9T+fMXH2n3n/UMzRigAHKWXhB/KLMTTTAflWgnC9rdcHcwyG7bHPD+Js+1nEKImHmRLA==" saltValue="x6R0rPoycnIwK7zrWRdNow==" spinCount="100000" sheet="1" objects="1" scenarios="1" selectLockedCells="1"/>
  <mergeCells count="79">
    <mergeCell ref="A69:E69"/>
    <mergeCell ref="F69:J69"/>
    <mergeCell ref="I70:J70"/>
    <mergeCell ref="A73:J73"/>
    <mergeCell ref="A76:J76"/>
    <mergeCell ref="A66:E66"/>
    <mergeCell ref="F66:J66"/>
    <mergeCell ref="A67:E67"/>
    <mergeCell ref="F67:J67"/>
    <mergeCell ref="A68:E68"/>
    <mergeCell ref="F68:J68"/>
    <mergeCell ref="A57:J57"/>
    <mergeCell ref="A58:J58"/>
    <mergeCell ref="I59:J59"/>
    <mergeCell ref="A62:J62"/>
    <mergeCell ref="A65:E65"/>
    <mergeCell ref="F65:J65"/>
    <mergeCell ref="A56:J56"/>
    <mergeCell ref="A44:J44"/>
    <mergeCell ref="A45:J45"/>
    <mergeCell ref="H46:J46"/>
    <mergeCell ref="C47:D47"/>
    <mergeCell ref="A49:J49"/>
    <mergeCell ref="A50:J50"/>
    <mergeCell ref="A51:J51"/>
    <mergeCell ref="A52:J52"/>
    <mergeCell ref="A53:J53"/>
    <mergeCell ref="A54:J54"/>
    <mergeCell ref="A55:J55"/>
    <mergeCell ref="A43:J43"/>
    <mergeCell ref="A27:J27"/>
    <mergeCell ref="A28:J28"/>
    <mergeCell ref="A29:J29"/>
    <mergeCell ref="A30:J30"/>
    <mergeCell ref="A31:J31"/>
    <mergeCell ref="A32:J32"/>
    <mergeCell ref="A36:J36"/>
    <mergeCell ref="A37:J37"/>
    <mergeCell ref="C38:D38"/>
    <mergeCell ref="A41:J41"/>
    <mergeCell ref="A42:J42"/>
    <mergeCell ref="H25:J25"/>
    <mergeCell ref="B21:C21"/>
    <mergeCell ref="G21:H21"/>
    <mergeCell ref="I21:J21"/>
    <mergeCell ref="B22:C22"/>
    <mergeCell ref="G22:H22"/>
    <mergeCell ref="I22:J22"/>
    <mergeCell ref="B23:C23"/>
    <mergeCell ref="G23:H23"/>
    <mergeCell ref="I23:J23"/>
    <mergeCell ref="B24:D24"/>
    <mergeCell ref="H24:J24"/>
    <mergeCell ref="B19:C19"/>
    <mergeCell ref="G19:H19"/>
    <mergeCell ref="I19:J19"/>
    <mergeCell ref="B20:C20"/>
    <mergeCell ref="G20:H20"/>
    <mergeCell ref="I20:J20"/>
    <mergeCell ref="B17:C17"/>
    <mergeCell ref="G17:H17"/>
    <mergeCell ref="I17:J17"/>
    <mergeCell ref="B18:C18"/>
    <mergeCell ref="G18:H18"/>
    <mergeCell ref="I18:J18"/>
    <mergeCell ref="B15:C15"/>
    <mergeCell ref="G15:H15"/>
    <mergeCell ref="I15:J15"/>
    <mergeCell ref="B16:C16"/>
    <mergeCell ref="G16:H16"/>
    <mergeCell ref="I16:J16"/>
    <mergeCell ref="B14:C14"/>
    <mergeCell ref="G14:H14"/>
    <mergeCell ref="I14:J14"/>
    <mergeCell ref="F10:H10"/>
    <mergeCell ref="I11:J11"/>
    <mergeCell ref="B13:C13"/>
    <mergeCell ref="G13:H13"/>
    <mergeCell ref="I13:J13"/>
  </mergeCells>
  <pageMargins left="0.75" right="0.75" top="1" bottom="1" header="0.5" footer="0.5"/>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L83"/>
  <sheetViews>
    <sheetView workbookViewId="0">
      <selection activeCell="A15" sqref="A15"/>
    </sheetView>
  </sheetViews>
  <sheetFormatPr defaultColWidth="11" defaultRowHeight="15.75" x14ac:dyDescent="0.25"/>
  <cols>
    <col min="1" max="1" width="30.875" customWidth="1"/>
    <col min="2" max="8" width="10.875" customWidth="1"/>
    <col min="9" max="9" width="14.875" customWidth="1"/>
    <col min="10" max="10" width="15" customWidth="1"/>
    <col min="11" max="11" width="14.875" style="246" customWidth="1"/>
  </cols>
  <sheetData>
    <row r="1" spans="1:11" x14ac:dyDescent="0.25">
      <c r="A1" s="126" t="s">
        <v>389</v>
      </c>
    </row>
    <row r="3" spans="1:11" x14ac:dyDescent="0.25">
      <c r="A3" s="126" t="s">
        <v>297</v>
      </c>
    </row>
    <row r="4" spans="1:11" s="221" customFormat="1" ht="15" x14ac:dyDescent="0.25">
      <c r="A4" s="250" t="s">
        <v>11</v>
      </c>
      <c r="B4" s="249" t="s">
        <v>363</v>
      </c>
      <c r="C4" s="249" t="s">
        <v>332</v>
      </c>
      <c r="D4" s="249" t="s">
        <v>333</v>
      </c>
      <c r="E4" s="249" t="s">
        <v>334</v>
      </c>
      <c r="F4" s="249" t="s">
        <v>335</v>
      </c>
      <c r="G4" s="249" t="s">
        <v>336</v>
      </c>
      <c r="H4" s="249" t="s">
        <v>337</v>
      </c>
      <c r="I4" s="249" t="s">
        <v>338</v>
      </c>
      <c r="J4" s="249" t="s">
        <v>339</v>
      </c>
      <c r="K4" s="249" t="s">
        <v>340</v>
      </c>
    </row>
    <row r="5" spans="1:11" s="217" customFormat="1" ht="15" x14ac:dyDescent="0.25">
      <c r="A5" s="222" t="str">
        <f>IF(B5&gt;0,(INDEX('Salary &amp; Fringe'!$A$1:$A$300,MATCH("Senior Person 1",'Salary &amp; Fringe'!$E$1:$E$300,FALSE),1)),"")</f>
        <v/>
      </c>
      <c r="B5" s="247">
        <f>IFERROR(IF(F5&gt;0, C5, D5+E5),0)</f>
        <v>0</v>
      </c>
      <c r="C5" s="247">
        <f>IFERROR(IF(F5&gt;0, (I5/SUM(F5:H5)*12),0),0)</f>
        <v>0</v>
      </c>
      <c r="D5" s="247">
        <f>IFERROR(IF($C5=0, (I5/SUM(F5:H5)*9),0),0)</f>
        <v>0</v>
      </c>
      <c r="E5" s="247">
        <f>IFERROR(IF($C5=0, (I5/SUM(F5:H5)*3),0),0)</f>
        <v>0</v>
      </c>
      <c r="F5" s="251">
        <f>SUMIFS('Salary &amp; Fringe'!$S$1:'Salary &amp; Fringe'!$S$300,'Salary &amp; Fringe'!$E$1:'Salary &amp; Fringe'!$E$300,"Senior Person 1",'Salary &amp; Fringe'!$F$1:'Salary &amp; Fringe'!$F$300,"Calendar*")</f>
        <v>0</v>
      </c>
      <c r="G5" s="251">
        <f>SUMIFS('Salary &amp; Fringe'!$S$1:'Salary &amp; Fringe'!$S$300,'Salary &amp; Fringe'!$E$1:'Salary &amp; Fringe'!$E$300,"Senior Person 1",'Salary &amp; Fringe'!$F$1:'Salary &amp; Fringe'!$F$300,"Academic")</f>
        <v>0</v>
      </c>
      <c r="H5" s="251">
        <f>SUMIFS('Salary &amp; Fringe'!$S$1:'Salary &amp; Fringe'!$S$300,'Salary &amp; Fringe'!$E$1:'Salary &amp; Fringe'!$E$300,"Senior Person 1",'Salary &amp; Fringe'!$F$1:'Salary &amp; Fringe'!$F$300,"Summer")</f>
        <v>0</v>
      </c>
      <c r="I5" s="247">
        <f>SUMIF('Salary &amp; Fringe'!$E$1:$E$300,"Senior Person 1",'Salary &amp; Fringe'!$AC$1:$AC$300)</f>
        <v>0</v>
      </c>
      <c r="J5" s="247">
        <f>SUMIF('Salary &amp; Fringe'!$E$1:$E$300,"Senior Person 1",'Salary &amp; Fringe'!$AM$1:$AM$300)</f>
        <v>0</v>
      </c>
      <c r="K5" s="247">
        <f>I5+J5</f>
        <v>0</v>
      </c>
    </row>
    <row r="6" spans="1:11" s="217" customFormat="1" ht="15" x14ac:dyDescent="0.25">
      <c r="A6" s="222" t="str">
        <f>IF(B6&gt;0,(INDEX('Salary &amp; Fringe'!$A$1:$A$300,MATCH("Senior Person 2",'Salary &amp; Fringe'!$E$1:$E$300,FALSE),1)),"")</f>
        <v/>
      </c>
      <c r="B6" s="247">
        <f t="shared" ref="B6:B9" si="0">IFERROR(IF(F6&gt;0, C6, D6+E6),0)</f>
        <v>0</v>
      </c>
      <c r="C6" s="247">
        <f t="shared" ref="C6:C9" si="1">IFERROR(IF(F6&gt;0, (I6/SUM(F6:H6)*12),0),0)</f>
        <v>0</v>
      </c>
      <c r="D6" s="247">
        <f t="shared" ref="D6:D9" si="2">IFERROR(IF($C6=0, (I6/SUM(F6:H6)*9),0),0)</f>
        <v>0</v>
      </c>
      <c r="E6" s="247">
        <f t="shared" ref="E6:E9" si="3">IFERROR(IF($C6=0, (I6/SUM(F6:H6)*3),0),0)</f>
        <v>0</v>
      </c>
      <c r="F6" s="251">
        <f>SUMIFS('Salary &amp; Fringe'!$S$1:'Salary &amp; Fringe'!$S$300,'Salary &amp; Fringe'!$E$1:'Salary &amp; Fringe'!$E$300,"Senior Person 2",'Salary &amp; Fringe'!$F$1:'Salary &amp; Fringe'!$F$300,"Calendar*")</f>
        <v>0</v>
      </c>
      <c r="G6" s="251">
        <f>SUMIFS('Salary &amp; Fringe'!$S$1:'Salary &amp; Fringe'!$S$300,'Salary &amp; Fringe'!$E$1:'Salary &amp; Fringe'!$E$300,"Senior Person 2",'Salary &amp; Fringe'!$F$1:'Salary &amp; Fringe'!$F$300,"Academic")</f>
        <v>0</v>
      </c>
      <c r="H6" s="251">
        <f>SUMIFS('Salary &amp; Fringe'!$S$1:'Salary &amp; Fringe'!$S$300,'Salary &amp; Fringe'!$E$1:'Salary &amp; Fringe'!$E$300,"Senior Person 2",'Salary &amp; Fringe'!$F$1:'Salary &amp; Fringe'!$F$300,"Summer")</f>
        <v>0</v>
      </c>
      <c r="I6" s="247">
        <f>SUMIF('Salary &amp; Fringe'!$E$1:$E$300,"Senior Person 2",'Salary &amp; Fringe'!$AC$1:$AC$300)</f>
        <v>0</v>
      </c>
      <c r="J6" s="247">
        <f>SUMIF('Salary &amp; Fringe'!$E$1:$E$300,"Senior Person 2",'Salary &amp; Fringe'!$AM$1:$AM$300)</f>
        <v>0</v>
      </c>
      <c r="K6" s="247">
        <f t="shared" ref="K6:K10" si="4">I6+J6</f>
        <v>0</v>
      </c>
    </row>
    <row r="7" spans="1:11" s="217" customFormat="1" ht="15" x14ac:dyDescent="0.25">
      <c r="A7" s="222" t="str">
        <f>IF(B7&gt;0,(INDEX('Salary &amp; Fringe'!$A$1:$A$300,MATCH("Senior Person 3",'Salary &amp; Fringe'!$E$1:$E$300,FALSE),1)),"")</f>
        <v/>
      </c>
      <c r="B7" s="247">
        <f t="shared" si="0"/>
        <v>0</v>
      </c>
      <c r="C7" s="247">
        <f t="shared" si="1"/>
        <v>0</v>
      </c>
      <c r="D7" s="247">
        <f t="shared" si="2"/>
        <v>0</v>
      </c>
      <c r="E7" s="247">
        <f t="shared" si="3"/>
        <v>0</v>
      </c>
      <c r="F7" s="251">
        <f>SUMIFS('Salary &amp; Fringe'!$S$1:'Salary &amp; Fringe'!$S$300,'Salary &amp; Fringe'!$E$1:'Salary &amp; Fringe'!$E$300,"Senior Person 3",'Salary &amp; Fringe'!$F$1:'Salary &amp; Fringe'!$F$300,"Calendar*")</f>
        <v>0</v>
      </c>
      <c r="G7" s="251">
        <f>SUMIFS('Salary &amp; Fringe'!$S$1:'Salary &amp; Fringe'!$S$300,'Salary &amp; Fringe'!$E$1:'Salary &amp; Fringe'!$E$300,"Senior Person 3",'Salary &amp; Fringe'!$F$1:'Salary &amp; Fringe'!$F$300,"Academic")</f>
        <v>0</v>
      </c>
      <c r="H7" s="251">
        <f>SUMIFS('Salary &amp; Fringe'!$S$1:'Salary &amp; Fringe'!$S$300,'Salary &amp; Fringe'!$E$1:'Salary &amp; Fringe'!$E$300,"Senior Person 3",'Salary &amp; Fringe'!$F$1:'Salary &amp; Fringe'!$F$300,"Summer")</f>
        <v>0</v>
      </c>
      <c r="I7" s="247">
        <f>SUMIF('Salary &amp; Fringe'!$E$1:$E$300,"Senior Person 3",'Salary &amp; Fringe'!$AC$1:$AC$300)</f>
        <v>0</v>
      </c>
      <c r="J7" s="247">
        <f>SUMIF('Salary &amp; Fringe'!$E$1:$E$300,"Senior Person 3",'Salary &amp; Fringe'!$AM$1:$AM$300)</f>
        <v>0</v>
      </c>
      <c r="K7" s="247">
        <f t="shared" si="4"/>
        <v>0</v>
      </c>
    </row>
    <row r="8" spans="1:11" s="217" customFormat="1" ht="15" x14ac:dyDescent="0.25">
      <c r="A8" s="222" t="str">
        <f>IF(B8&gt;0,(INDEX('Salary &amp; Fringe'!$A$1:$A$300,MATCH("Senior Person 4",'Salary &amp; Fringe'!$E$1:$E$300,FALSE),1)),"")</f>
        <v/>
      </c>
      <c r="B8" s="247">
        <f t="shared" si="0"/>
        <v>0</v>
      </c>
      <c r="C8" s="247">
        <f t="shared" si="1"/>
        <v>0</v>
      </c>
      <c r="D8" s="247">
        <f t="shared" si="2"/>
        <v>0</v>
      </c>
      <c r="E8" s="247">
        <f t="shared" si="3"/>
        <v>0</v>
      </c>
      <c r="F8" s="251">
        <f>SUMIFS('Salary &amp; Fringe'!$S$1:'Salary &amp; Fringe'!$S$300,'Salary &amp; Fringe'!$E$1:'Salary &amp; Fringe'!$E$300,"Senior Person 4",'Salary &amp; Fringe'!$F$1:'Salary &amp; Fringe'!$F$300,"Calendar*")</f>
        <v>0</v>
      </c>
      <c r="G8" s="251">
        <f>SUMIFS('Salary &amp; Fringe'!$S$1:'Salary &amp; Fringe'!$S$300,'Salary &amp; Fringe'!$E$1:'Salary &amp; Fringe'!$E$300,"Senior Person 4",'Salary &amp; Fringe'!$F$1:'Salary &amp; Fringe'!$F$300,"Academic")</f>
        <v>0</v>
      </c>
      <c r="H8" s="251">
        <f>SUMIFS('Salary &amp; Fringe'!$S$1:'Salary &amp; Fringe'!$S$300,'Salary &amp; Fringe'!$E$1:'Salary &amp; Fringe'!$E$300,"Senior Person 4",'Salary &amp; Fringe'!$F$1:'Salary &amp; Fringe'!$F$300,"Summer")</f>
        <v>0</v>
      </c>
      <c r="I8" s="247">
        <f>SUMIF('Salary &amp; Fringe'!$E$1:$E$300,"Senior Person 4",'Salary &amp; Fringe'!$AC$1:$AC$300)</f>
        <v>0</v>
      </c>
      <c r="J8" s="247">
        <f>SUMIF('Salary &amp; Fringe'!$E$1:$E$300,"Senior Person 4",'Salary &amp; Fringe'!$AM$1:$AM$300)</f>
        <v>0</v>
      </c>
      <c r="K8" s="247">
        <f t="shared" si="4"/>
        <v>0</v>
      </c>
    </row>
    <row r="9" spans="1:11" s="217" customFormat="1" ht="15" x14ac:dyDescent="0.25">
      <c r="A9" s="222" t="str">
        <f>IF(B9&gt;0,(INDEX('Salary &amp; Fringe'!$A$1:$A$300,MATCH("Senior Person 5",'Salary &amp; Fringe'!$E$1:$E$300,FALSE),1)),"")</f>
        <v/>
      </c>
      <c r="B9" s="247">
        <f t="shared" si="0"/>
        <v>0</v>
      </c>
      <c r="C9" s="247">
        <f t="shared" si="1"/>
        <v>0</v>
      </c>
      <c r="D9" s="247">
        <f t="shared" si="2"/>
        <v>0</v>
      </c>
      <c r="E9" s="247">
        <f t="shared" si="3"/>
        <v>0</v>
      </c>
      <c r="F9" s="251">
        <f>SUMIFS('Salary &amp; Fringe'!$S$1:'Salary &amp; Fringe'!$S$300,'Salary &amp; Fringe'!$E$1:'Salary &amp; Fringe'!$E$300,"Senior Person 5",'Salary &amp; Fringe'!$F$1:'Salary &amp; Fringe'!$F$300,"Calendar*")</f>
        <v>0</v>
      </c>
      <c r="G9" s="251">
        <f>SUMIFS('Salary &amp; Fringe'!$S$1:'Salary &amp; Fringe'!$S$300,'Salary &amp; Fringe'!$E$1:'Salary &amp; Fringe'!$E$300,"Senior Person 5",'Salary &amp; Fringe'!$F$1:'Salary &amp; Fringe'!$F$300,"Academic")</f>
        <v>0</v>
      </c>
      <c r="H9" s="251">
        <f>SUMIFS('Salary &amp; Fringe'!$S$1:'Salary &amp; Fringe'!$S$300,'Salary &amp; Fringe'!$E$1:'Salary &amp; Fringe'!$E$300,"Senior Person 5",'Salary &amp; Fringe'!$F$1:'Salary &amp; Fringe'!$F$300,"Summer")</f>
        <v>0</v>
      </c>
      <c r="I9" s="247">
        <f>SUMIF('Salary &amp; Fringe'!$E$1:$E$300,"Senior Person 5",'Salary &amp; Fringe'!$AC$1:$AC$300)</f>
        <v>0</v>
      </c>
      <c r="J9" s="247">
        <f>SUMIF('Salary &amp; Fringe'!$E$1:$E$300,"Senior Person 5",'Salary &amp; Fringe'!$AM$1:$AM$300)</f>
        <v>0</v>
      </c>
      <c r="K9" s="247">
        <f t="shared" si="4"/>
        <v>0</v>
      </c>
    </row>
    <row r="10" spans="1:11" s="217" customFormat="1" thickBot="1" x14ac:dyDescent="0.3">
      <c r="A10" s="224"/>
      <c r="B10" s="241"/>
      <c r="C10" s="241"/>
      <c r="D10" s="241"/>
      <c r="E10" s="241"/>
      <c r="F10" s="583" t="s">
        <v>366</v>
      </c>
      <c r="G10" s="584"/>
      <c r="H10" s="585"/>
      <c r="I10" s="247">
        <f>SUMIF('Salary &amp; Fringe'!$E$1:$E$300,"Senior (Other)",'Salary &amp; Fringe'!$AC$1:$AC$300)</f>
        <v>0</v>
      </c>
      <c r="J10" s="247">
        <f>SUMIF('Salary &amp; Fringe'!$E$1:$E$300,"Senior (Other)",'Salary &amp; Fringe'!$AM$1:$AM$300)</f>
        <v>0</v>
      </c>
      <c r="K10" s="247">
        <f t="shared" si="4"/>
        <v>0</v>
      </c>
    </row>
    <row r="11" spans="1:11" s="217" customFormat="1" thickBot="1" x14ac:dyDescent="0.3">
      <c r="I11" s="583" t="s">
        <v>361</v>
      </c>
      <c r="J11" s="586"/>
      <c r="K11" s="235">
        <f>SUM(K5:K10)</f>
        <v>0</v>
      </c>
    </row>
    <row r="12" spans="1:11" x14ac:dyDescent="0.25">
      <c r="A12" s="126" t="s">
        <v>102</v>
      </c>
    </row>
    <row r="13" spans="1:11" s="221" customFormat="1" ht="15" x14ac:dyDescent="0.25">
      <c r="A13" s="223" t="s">
        <v>341</v>
      </c>
      <c r="B13" s="587" t="s">
        <v>342</v>
      </c>
      <c r="C13" s="587"/>
      <c r="D13" s="249" t="s">
        <v>343</v>
      </c>
      <c r="E13" s="249" t="s">
        <v>344</v>
      </c>
      <c r="F13" s="249" t="s">
        <v>345</v>
      </c>
      <c r="G13" s="587" t="s">
        <v>338</v>
      </c>
      <c r="H13" s="587"/>
      <c r="I13" s="587" t="s">
        <v>339</v>
      </c>
      <c r="J13" s="587"/>
      <c r="K13" s="249" t="s">
        <v>346</v>
      </c>
    </row>
    <row r="14" spans="1:11" s="217" customFormat="1" ht="15" x14ac:dyDescent="0.25">
      <c r="A14" s="239">
        <f>SUMIFS('Salary &amp; Fringe'!$I$1:$I$300,'Salary &amp; Fringe'!$E$1:$E$300,"Postdoc", 'Salary &amp; Fringe'!$S$1:'Salary &amp; Fringe'!$S$300, "&gt;0")</f>
        <v>0</v>
      </c>
      <c r="B14" s="580" t="s">
        <v>103</v>
      </c>
      <c r="C14" s="580"/>
      <c r="D14" s="251">
        <f>SUMIFS('Salary &amp; Fringe'!$S$1:'Salary &amp; Fringe'!$S$300,'Salary &amp; Fringe'!$E$1:'Salary &amp; Fringe'!$E$300,"Postdoc",'Salary &amp; Fringe'!$F$1:'Salary &amp; Fringe'!$F$300,"Calendar*")+SUMIFS('Salary &amp; Fringe'!$S$1:'Salary &amp; Fringe'!$S$300,'Salary &amp; Fringe'!$E$1:'Salary &amp; Fringe'!$E$300,"Postdoc",'Salary &amp; Fringe'!$F$1:'Salary &amp; Fringe'!$F$300,"Hourly")</f>
        <v>0</v>
      </c>
      <c r="E14" s="251">
        <f>SUMIFS('Salary &amp; Fringe'!$S$1:'Salary &amp; Fringe'!$S$300,'Salary &amp; Fringe'!$E$1:'Salary &amp; Fringe'!$E$300,"Postdoc",'Salary &amp; Fringe'!$F$1:'Salary &amp; Fringe'!$F$300,"Academic")</f>
        <v>0</v>
      </c>
      <c r="F14" s="251">
        <f>SUMIFS('Salary &amp; Fringe'!$S$1:'Salary &amp; Fringe'!$S$300,'Salary &amp; Fringe'!$E$1:'Salary &amp; Fringe'!$E$300,"Postdoc",'Salary &amp; Fringe'!$F$1:'Salary &amp; Fringe'!$F$300,"Summer")</f>
        <v>0</v>
      </c>
      <c r="G14" s="581">
        <f>SUMIF('Salary &amp; Fringe'!$E$1:$E$300,"Postdoc",'Salary &amp; Fringe'!$AC$1:$AC$300)</f>
        <v>0</v>
      </c>
      <c r="H14" s="582"/>
      <c r="I14" s="581">
        <f>SUMIF('Salary &amp; Fringe'!$E$1:$E$300,"Postdoc",'Salary &amp; Fringe'!$AM$1:$AM$300)</f>
        <v>0</v>
      </c>
      <c r="J14" s="582"/>
      <c r="K14" s="247">
        <f>G14+I14</f>
        <v>0</v>
      </c>
    </row>
    <row r="15" spans="1:11" s="217" customFormat="1" ht="15" x14ac:dyDescent="0.25">
      <c r="A15" s="243"/>
      <c r="B15" s="580" t="s">
        <v>105</v>
      </c>
      <c r="C15" s="580"/>
      <c r="D15" s="251">
        <f>SUMIFS('Salary &amp; Fringe'!$S$1:'Salary &amp; Fringe'!$S$300,'Salary &amp; Fringe'!$E$1:'Salary &amp; Fringe'!$E$300,"Grad",'Salary &amp; Fringe'!$F$1:'Salary &amp; Fringe'!$F$300,"Calendar*")+SUMIFS('Salary &amp; Fringe'!$S$1:'Salary &amp; Fringe'!$S$300,'Salary &amp; Fringe'!$E$1:'Salary &amp; Fringe'!$E$300,"Grad",'Salary &amp; Fringe'!$F$1:'Salary &amp; Fringe'!$F$300,"Hourly")</f>
        <v>0</v>
      </c>
      <c r="E15" s="251">
        <f>SUMIFS('Salary &amp; Fringe'!$S$1:'Salary &amp; Fringe'!$S$300,'Salary &amp; Fringe'!$E$1:'Salary &amp; Fringe'!$E$300,"Grad",'Salary &amp; Fringe'!$F$1:'Salary &amp; Fringe'!$F$300,"Academic")*2</f>
        <v>0</v>
      </c>
      <c r="F15" s="251">
        <f>SUMIFS('Salary &amp; Fringe'!$S$1:'Salary &amp; Fringe'!$S$300,'Salary &amp; Fringe'!$E$1:'Salary &amp; Fringe'!$E$300,"Grad",'Salary &amp; Fringe'!$F$1:'Salary &amp; Fringe'!$F$300,"Summer")*2</f>
        <v>0</v>
      </c>
      <c r="G15" s="588">
        <f>SUMIF('Salary &amp; Fringe'!$E$1:$E$300,"Grad",'Salary &amp; Fringe'!$AC$1:$AC$300)</f>
        <v>0</v>
      </c>
      <c r="H15" s="588"/>
      <c r="I15" s="588">
        <f>SUMIF('Salary &amp; Fringe'!$E$1:$E$300,"Grad",'Salary &amp; Fringe'!$AM$1:$AM$300)</f>
        <v>0</v>
      </c>
      <c r="J15" s="588"/>
      <c r="K15" s="247">
        <f t="shared" ref="K15:K23" si="5">G15+I15</f>
        <v>0</v>
      </c>
    </row>
    <row r="16" spans="1:11" s="217" customFormat="1" ht="15" x14ac:dyDescent="0.25">
      <c r="A16" s="243"/>
      <c r="B16" s="580" t="s">
        <v>367</v>
      </c>
      <c r="C16" s="580"/>
      <c r="D16" s="251">
        <f>SUMIF('Salary &amp; Fringe'!$E$1:$E$300,"Undergrad",'Salary &amp; Fringe'!$S$1:$S$300)</f>
        <v>0</v>
      </c>
      <c r="E16" s="251">
        <v>0</v>
      </c>
      <c r="F16" s="251">
        <v>0</v>
      </c>
      <c r="G16" s="588">
        <f>SUMIF('Salary &amp; Fringe'!$E$1:$E$300,"Undergrad",'Salary &amp; Fringe'!$AC$1:$AC$300)</f>
        <v>0</v>
      </c>
      <c r="H16" s="588"/>
      <c r="I16" s="588">
        <f>SUMIF('Salary &amp; Fringe'!$E$1:$E$300,"Undergrad",'Salary &amp; Fringe'!$AM$1:$AM$300)</f>
        <v>0</v>
      </c>
      <c r="J16" s="588"/>
      <c r="K16" s="247">
        <f t="shared" si="5"/>
        <v>0</v>
      </c>
    </row>
    <row r="17" spans="1:11" s="217" customFormat="1" ht="15" x14ac:dyDescent="0.25">
      <c r="A17" s="251">
        <f>SUMIFS('Salary &amp; Fringe'!$I$1:$I$300,'Salary &amp; Fringe'!$E$1:$E$300,"Clerical", 'Salary &amp; Fringe'!$S$1:'Salary &amp; Fringe'!$S$300, "&gt;0")</f>
        <v>0</v>
      </c>
      <c r="B17" s="580" t="s">
        <v>348</v>
      </c>
      <c r="C17" s="580"/>
      <c r="D17" s="251">
        <f>SUMIFS('Salary &amp; Fringe'!$S$1:'Salary &amp; Fringe'!$S$300,'Salary &amp; Fringe'!$E$1:'Salary &amp; Fringe'!$E$300,"Clerical",'Salary &amp; Fringe'!$F$1:'Salary &amp; Fringe'!$F$300,"Calendar*")+SUMIFS('Salary &amp; Fringe'!$S$1:'Salary &amp; Fringe'!$S$300,'Salary &amp; Fringe'!$E$1:'Salary &amp; Fringe'!$E$300,"Clerical",'Salary &amp; Fringe'!$F$1:'Salary &amp; Fringe'!$F$300,"Hourly")</f>
        <v>0</v>
      </c>
      <c r="E17" s="251">
        <f>SUMIFS('Salary &amp; Fringe'!$S$1:'Salary &amp; Fringe'!$S$300,'Salary &amp; Fringe'!$E$1:'Salary &amp; Fringe'!$E$300,"Clerical",'Salary &amp; Fringe'!$F$1:'Salary &amp; Fringe'!$F$300,"Academic")</f>
        <v>0</v>
      </c>
      <c r="F17" s="251">
        <f>SUMIFS('Salary &amp; Fringe'!$S$1:'Salary &amp; Fringe'!$S$300,'Salary &amp; Fringe'!$E$1:'Salary &amp; Fringe'!$E$300,"Clerical",'Salary &amp; Fringe'!$F$1:'Salary &amp; Fringe'!$F$300,"Summer")</f>
        <v>0</v>
      </c>
      <c r="G17" s="588">
        <f>SUMIF('Salary &amp; Fringe'!$E$1:$E$300,"Clerical",'Salary &amp; Fringe'!$AC$1:$AC$300)</f>
        <v>0</v>
      </c>
      <c r="H17" s="588"/>
      <c r="I17" s="588">
        <f>SUMIF('Salary &amp; Fringe'!$E$1:$E$300,"Clerical",'Salary &amp; Fringe'!$AM$1:$AM$300)</f>
        <v>0</v>
      </c>
      <c r="J17" s="588"/>
      <c r="K17" s="247">
        <f t="shared" si="5"/>
        <v>0</v>
      </c>
    </row>
    <row r="18" spans="1:11" s="217" customFormat="1" ht="15" x14ac:dyDescent="0.25">
      <c r="A18" s="251">
        <f>SUMIFS('Salary &amp; Fringe'!$I$1:$I$300,'Salary &amp; Fringe'!$E$1:$E$300,"Other 1", 'Salary &amp; Fringe'!$S$1:'Salary &amp; Fringe'!$S$300, "&gt;0")</f>
        <v>0</v>
      </c>
      <c r="B18" s="580" t="str">
        <f>IF(G18&gt;0,(INDEX('Salary &amp; Fringe'!$B$1:$B$300,MATCH("Other 1",'Salary &amp; Fringe'!$E$1:$E$300,FALSE),1)),"")</f>
        <v/>
      </c>
      <c r="C18" s="580"/>
      <c r="D18" s="251">
        <f>SUMIFS('Salary &amp; Fringe'!$S$1:'Salary &amp; Fringe'!$S$300,'Salary &amp; Fringe'!$E$1:'Salary &amp; Fringe'!$E$300,"Other 1",'Salary &amp; Fringe'!$F$1:'Salary &amp; Fringe'!$F$300,"Calendar*")+SUMIFS('Salary &amp; Fringe'!$S$1:'Salary &amp; Fringe'!$S$300,'Salary &amp; Fringe'!$E$1:'Salary &amp; Fringe'!$E$300,"Other 1",'Salary &amp; Fringe'!$F$1:'Salary &amp; Fringe'!$F$300,"Hourly")</f>
        <v>0</v>
      </c>
      <c r="E18" s="251">
        <f>SUMIFS('Salary &amp; Fringe'!$S$1:'Salary &amp; Fringe'!$S$300,'Salary &amp; Fringe'!$E$1:'Salary &amp; Fringe'!$E$300,"Other 1",'Salary &amp; Fringe'!$F$1:'Salary &amp; Fringe'!$F$300,"Academic")</f>
        <v>0</v>
      </c>
      <c r="F18" s="251">
        <f>SUMIFS('Salary &amp; Fringe'!$S$1:'Salary &amp; Fringe'!$S$300,'Salary &amp; Fringe'!$E$1:'Salary &amp; Fringe'!$E$300,"Other 1",'Salary &amp; Fringe'!$F$1:'Salary &amp; Fringe'!$F$300,"Summer")</f>
        <v>0</v>
      </c>
      <c r="G18" s="588">
        <f>SUMIF('Salary &amp; Fringe'!$E$1:$E$300,"Other 1",'Salary &amp; Fringe'!$AC$1:$AC$300)</f>
        <v>0</v>
      </c>
      <c r="H18" s="588"/>
      <c r="I18" s="588">
        <f>SUMIF('Salary &amp; Fringe'!$E$1:$E$300,"Other 1",'Salary &amp; Fringe'!$AM$1:$AM$300)</f>
        <v>0</v>
      </c>
      <c r="J18" s="588"/>
      <c r="K18" s="247">
        <f t="shared" si="5"/>
        <v>0</v>
      </c>
    </row>
    <row r="19" spans="1:11" s="217" customFormat="1" ht="15" x14ac:dyDescent="0.25">
      <c r="A19" s="251">
        <f>SUMIFS('Salary &amp; Fringe'!$I$1:$I$300,'Salary &amp; Fringe'!$E$1:$E$300,"Other 2", 'Salary &amp; Fringe'!$S$1:'Salary &amp; Fringe'!$S$300, "&gt;0")</f>
        <v>0</v>
      </c>
      <c r="B19" s="580" t="str">
        <f>IF(G19&gt;0,(INDEX('Salary &amp; Fringe'!$B$1:$B$300,MATCH("Other 2",'Salary &amp; Fringe'!$E$1:$E$300,FALSE),1)),"")</f>
        <v/>
      </c>
      <c r="C19" s="580"/>
      <c r="D19" s="251">
        <f>SUMIFS('Salary &amp; Fringe'!$S$1:'Salary &amp; Fringe'!$S$300,'Salary &amp; Fringe'!$E$1:'Salary &amp; Fringe'!$E$300,"Other 2",'Salary &amp; Fringe'!$F$1:'Salary &amp; Fringe'!$F$300,"Calendar*")+SUMIFS('Salary &amp; Fringe'!$S$1:'Salary &amp; Fringe'!$S$300,'Salary &amp; Fringe'!$E$1:'Salary &amp; Fringe'!$E$300,"Other 2",'Salary &amp; Fringe'!$F$1:'Salary &amp; Fringe'!$F$300,"Hourly")</f>
        <v>0</v>
      </c>
      <c r="E19" s="251">
        <f>SUMIFS('Salary &amp; Fringe'!$S$1:'Salary &amp; Fringe'!$S$300,'Salary &amp; Fringe'!$E$1:'Salary &amp; Fringe'!$E$300,"Other 2",'Salary &amp; Fringe'!$F$1:'Salary &amp; Fringe'!$F$300,"Academic")</f>
        <v>0</v>
      </c>
      <c r="F19" s="251">
        <f>SUMIFS('Salary &amp; Fringe'!$S$1:'Salary &amp; Fringe'!$S$300,'Salary &amp; Fringe'!$E$1:'Salary &amp; Fringe'!$E$300,"Other 2",'Salary &amp; Fringe'!$F$1:'Salary &amp; Fringe'!$F$300,"Summer")</f>
        <v>0</v>
      </c>
      <c r="G19" s="588">
        <f>SUMIF('Salary &amp; Fringe'!$E$1:$E$300,"Other 2",'Salary &amp; Fringe'!$AC$1:$AC$300)</f>
        <v>0</v>
      </c>
      <c r="H19" s="588"/>
      <c r="I19" s="588">
        <f>SUMIF('Salary &amp; Fringe'!$E$1:$E$300,"Other 2",'Salary &amp; Fringe'!$AM$1:$AM$300)</f>
        <v>0</v>
      </c>
      <c r="J19" s="588"/>
      <c r="K19" s="247">
        <f t="shared" si="5"/>
        <v>0</v>
      </c>
    </row>
    <row r="20" spans="1:11" s="217" customFormat="1" ht="15" x14ac:dyDescent="0.25">
      <c r="A20" s="251">
        <f>SUMIFS('Salary &amp; Fringe'!$I$1:$I$300,'Salary &amp; Fringe'!$E$1:$E$300,"Other 3", 'Salary &amp; Fringe'!$S$1:'Salary &amp; Fringe'!$S$300, "&gt;0")</f>
        <v>0</v>
      </c>
      <c r="B20" s="580" t="str">
        <f>IF(G20&gt;0,(INDEX('Salary &amp; Fringe'!$B$1:$B$300,MATCH("Other 3",'Salary &amp; Fringe'!$E$1:$E$300,FALSE),1)),"")</f>
        <v/>
      </c>
      <c r="C20" s="580"/>
      <c r="D20" s="251">
        <f>SUMIFS('Salary &amp; Fringe'!$S$1:'Salary &amp; Fringe'!$S$300,'Salary &amp; Fringe'!$E$1:'Salary &amp; Fringe'!$E$300,"Other 3",'Salary &amp; Fringe'!$F$1:'Salary &amp; Fringe'!$F$300,"Calendar*")+SUMIFS('Salary &amp; Fringe'!$S$1:'Salary &amp; Fringe'!$S$300,'Salary &amp; Fringe'!$E$1:'Salary &amp; Fringe'!$E$300,"Other 3",'Salary &amp; Fringe'!$F$1:'Salary &amp; Fringe'!$F$300,"Hourly")</f>
        <v>0</v>
      </c>
      <c r="E20" s="251">
        <f>SUMIFS('Salary &amp; Fringe'!$S$1:'Salary &amp; Fringe'!$S$300,'Salary &amp; Fringe'!$E$1:'Salary &amp; Fringe'!$E$300,"Other 3",'Salary &amp; Fringe'!$F$1:'Salary &amp; Fringe'!$F$300,"Academic")</f>
        <v>0</v>
      </c>
      <c r="F20" s="251">
        <f>SUMIFS('Salary &amp; Fringe'!$S$1:'Salary &amp; Fringe'!$S$300,'Salary &amp; Fringe'!$E$1:'Salary &amp; Fringe'!$E$300,"Other 3",'Salary &amp; Fringe'!$F$1:'Salary &amp; Fringe'!$F$300,"Summer")</f>
        <v>0</v>
      </c>
      <c r="G20" s="588">
        <f>SUMIF('Salary &amp; Fringe'!$E$1:$E$300,"Other 3",'Salary &amp; Fringe'!$AC$1:$AC$300)</f>
        <v>0</v>
      </c>
      <c r="H20" s="588"/>
      <c r="I20" s="588">
        <f>SUMIF('Salary &amp; Fringe'!$E$1:$E$300,"Other 3",'Salary &amp; Fringe'!$AM$1:$AM$300)</f>
        <v>0</v>
      </c>
      <c r="J20" s="588"/>
      <c r="K20" s="247">
        <f t="shared" si="5"/>
        <v>0</v>
      </c>
    </row>
    <row r="21" spans="1:11" s="217" customFormat="1" ht="15" x14ac:dyDescent="0.25">
      <c r="A21" s="251">
        <f>SUMIFS('Salary &amp; Fringe'!$I$1:$I$300,'Salary &amp; Fringe'!$E$1:$E$300,"Other 4", 'Salary &amp; Fringe'!$S$1:'Salary &amp; Fringe'!$S$300, "&gt;0")</f>
        <v>0</v>
      </c>
      <c r="B21" s="580" t="str">
        <f>IF(G21&gt;0,(INDEX('Salary &amp; Fringe'!$B$1:$B$300,MATCH("Other 4",'Salary &amp; Fringe'!$E$1:$E$300,FALSE),1)),"")</f>
        <v/>
      </c>
      <c r="C21" s="580"/>
      <c r="D21" s="251">
        <f>SUMIFS('Salary &amp; Fringe'!$S$1:'Salary &amp; Fringe'!$S$300,'Salary &amp; Fringe'!$E$1:'Salary &amp; Fringe'!$E$300,"Other 4",'Salary &amp; Fringe'!$F$1:'Salary &amp; Fringe'!$F$300,"Calendar*")+SUMIFS('Salary &amp; Fringe'!$S$1:'Salary &amp; Fringe'!$S$300,'Salary &amp; Fringe'!$E$1:'Salary &amp; Fringe'!$E$300,"Other 4",'Salary &amp; Fringe'!$F$1:'Salary &amp; Fringe'!$F$300,"Hourly")</f>
        <v>0</v>
      </c>
      <c r="E21" s="251">
        <f>SUMIFS('Salary &amp; Fringe'!$S$1:'Salary &amp; Fringe'!$S$300,'Salary &amp; Fringe'!$E$1:'Salary &amp; Fringe'!$E$300,"Other 4",'Salary &amp; Fringe'!$F$1:'Salary &amp; Fringe'!$F$300,"Academic")</f>
        <v>0</v>
      </c>
      <c r="F21" s="251">
        <f>SUMIFS('Salary &amp; Fringe'!$S$1:'Salary &amp; Fringe'!$S$300,'Salary &amp; Fringe'!$E$1:'Salary &amp; Fringe'!$E$300,"Other 4",'Salary &amp; Fringe'!$F$1:'Salary &amp; Fringe'!$F$300,"Summer")</f>
        <v>0</v>
      </c>
      <c r="G21" s="588">
        <f>SUMIF('Salary &amp; Fringe'!$E$1:$E$300,"Other 4",'Salary &amp; Fringe'!$AC$1:$AC$300)</f>
        <v>0</v>
      </c>
      <c r="H21" s="588"/>
      <c r="I21" s="588">
        <f>SUMIF('Salary &amp; Fringe'!$E$1:$E$300,"Other 4",'Salary &amp; Fringe'!$AM$1:$AM$300)</f>
        <v>0</v>
      </c>
      <c r="J21" s="588"/>
      <c r="K21" s="247">
        <f t="shared" si="5"/>
        <v>0</v>
      </c>
    </row>
    <row r="22" spans="1:11" s="217" customFormat="1" ht="15" x14ac:dyDescent="0.25">
      <c r="A22" s="251">
        <f>SUMIFS('Salary &amp; Fringe'!$I$1:$I$300,'Salary &amp; Fringe'!$E$1:$E$300,"Other 5", 'Salary &amp; Fringe'!$S$1:'Salary &amp; Fringe'!$S$300, "&gt;0")</f>
        <v>0</v>
      </c>
      <c r="B22" s="580" t="str">
        <f>IF(G22&gt;0,(INDEX('Salary &amp; Fringe'!$B$1:$B$300,MATCH("Other 5",'Salary &amp; Fringe'!$E$1:$E$300,FALSE),1)),"")</f>
        <v/>
      </c>
      <c r="C22" s="580"/>
      <c r="D22" s="251">
        <f>SUMIFS('Salary &amp; Fringe'!$S$1:'Salary &amp; Fringe'!$S$300,'Salary &amp; Fringe'!$E$1:'Salary &amp; Fringe'!$E$300,"Other 5",'Salary &amp; Fringe'!$F$1:'Salary &amp; Fringe'!$F$300,"Calendar*")+SUMIFS('Salary &amp; Fringe'!$S$1:'Salary &amp; Fringe'!$S$300,'Salary &amp; Fringe'!$E$1:'Salary &amp; Fringe'!$E$300,"Other 5",'Salary &amp; Fringe'!$F$1:'Salary &amp; Fringe'!$F$300,"Hourly")</f>
        <v>0</v>
      </c>
      <c r="E22" s="251">
        <f>SUMIFS('Salary &amp; Fringe'!$S$1:'Salary &amp; Fringe'!$S$300,'Salary &amp; Fringe'!$E$1:'Salary &amp; Fringe'!$E$300,"Other 5",'Salary &amp; Fringe'!$F$1:'Salary &amp; Fringe'!$F$300,"Academic")</f>
        <v>0</v>
      </c>
      <c r="F22" s="251">
        <f>SUMIFS('Salary &amp; Fringe'!$S$1:'Salary &amp; Fringe'!$S$300,'Salary &amp; Fringe'!$E$1:'Salary &amp; Fringe'!$E$300,"Other 5",'Salary &amp; Fringe'!$F$1:'Salary &amp; Fringe'!$F$300,"Summer")</f>
        <v>0</v>
      </c>
      <c r="G22" s="588">
        <f>SUMIF('Salary &amp; Fringe'!$E$1:$E$300,"Other 5",'Salary &amp; Fringe'!$AC$1:$AC$300)</f>
        <v>0</v>
      </c>
      <c r="H22" s="588"/>
      <c r="I22" s="588">
        <f>SUMIF('Salary &amp; Fringe'!$E$1:$E$300,"Other 5",'Salary &amp; Fringe'!$AM$1:$AM$300)</f>
        <v>0</v>
      </c>
      <c r="J22" s="588"/>
      <c r="K22" s="247">
        <f t="shared" si="5"/>
        <v>0</v>
      </c>
    </row>
    <row r="23" spans="1:11" s="217" customFormat="1" thickBot="1" x14ac:dyDescent="0.3">
      <c r="A23" s="234">
        <f>SUMIFS('Salary &amp; Fringe'!$I$1:$I$300,'Salary &amp; Fringe'!$E$1:$E$300,"Other 6", 'Salary &amp; Fringe'!$S$1:'Salary &amp; Fringe'!$S$300, "&gt;0")</f>
        <v>0</v>
      </c>
      <c r="B23" s="580" t="str">
        <f>IF(G23&gt;0,(INDEX('Salary &amp; Fringe'!$B$1:$B$300,MATCH("Other 6",'Salary &amp; Fringe'!$E$1:$E$300,FALSE),1)),"")</f>
        <v/>
      </c>
      <c r="C23" s="580"/>
      <c r="D23" s="251">
        <f>SUMIFS('Salary &amp; Fringe'!$S$1:'Salary &amp; Fringe'!$S$300,'Salary &amp; Fringe'!$E$1:'Salary &amp; Fringe'!$E$300,"Other 6",'Salary &amp; Fringe'!$F$1:'Salary &amp; Fringe'!$F$300,"Calendar*")+SUMIFS('Salary &amp; Fringe'!$S$1:'Salary &amp; Fringe'!$S$300,'Salary &amp; Fringe'!$E$1:'Salary &amp; Fringe'!$E$300,"Other 6",'Salary &amp; Fringe'!$F$1:'Salary &amp; Fringe'!$F$300,"Hourly")</f>
        <v>0</v>
      </c>
      <c r="E23" s="251">
        <f>SUMIFS('Salary &amp; Fringe'!$S$1:'Salary &amp; Fringe'!$S$300,'Salary &amp; Fringe'!$E$1:'Salary &amp; Fringe'!$E$300,"Other 6",'Salary &amp; Fringe'!$F$1:'Salary &amp; Fringe'!$F$300,"Academic")</f>
        <v>0</v>
      </c>
      <c r="F23" s="251">
        <f>SUMIFS('Salary &amp; Fringe'!$S$1:'Salary &amp; Fringe'!$S$300,'Salary &amp; Fringe'!$E$1:'Salary &amp; Fringe'!$E$300,"Other 6",'Salary &amp; Fringe'!$F$1:'Salary &amp; Fringe'!$F$300,"Summer")</f>
        <v>0</v>
      </c>
      <c r="G23" s="588">
        <f>SUMIF('Salary &amp; Fringe'!$E$1:$E$300,"Other 6",'Salary &amp; Fringe'!$AC$1:$AC$300)</f>
        <v>0</v>
      </c>
      <c r="H23" s="588"/>
      <c r="I23" s="588">
        <f>SUMIF('Salary &amp; Fringe'!$E$1:$E$300,"Other 6",'Salary &amp; Fringe'!$AM$1:$AM$300)</f>
        <v>0</v>
      </c>
      <c r="J23" s="588"/>
      <c r="K23" s="247">
        <f t="shared" si="5"/>
        <v>0</v>
      </c>
    </row>
    <row r="24" spans="1:11" s="218" customFormat="1" thickBot="1" x14ac:dyDescent="0.3">
      <c r="A24" s="237">
        <f>SUM(A14:A23)</f>
        <v>0</v>
      </c>
      <c r="B24" s="589" t="s">
        <v>376</v>
      </c>
      <c r="C24" s="590"/>
      <c r="D24" s="591"/>
      <c r="H24" s="583" t="s">
        <v>349</v>
      </c>
      <c r="I24" s="584"/>
      <c r="J24" s="585"/>
      <c r="K24" s="240">
        <f>SUM(K14:K23)</f>
        <v>0</v>
      </c>
    </row>
    <row r="25" spans="1:11" s="217" customFormat="1" thickBot="1" x14ac:dyDescent="0.3">
      <c r="A25" s="224"/>
      <c r="H25" s="583" t="s">
        <v>310</v>
      </c>
      <c r="I25" s="584"/>
      <c r="J25" s="585"/>
      <c r="K25" s="235">
        <f>K11+K24</f>
        <v>0</v>
      </c>
    </row>
    <row r="26" spans="1:11" x14ac:dyDescent="0.25">
      <c r="A26" s="126" t="s">
        <v>298</v>
      </c>
    </row>
    <row r="27" spans="1:11" x14ac:dyDescent="0.25">
      <c r="A27" s="593" t="s">
        <v>350</v>
      </c>
      <c r="B27" s="593"/>
      <c r="C27" s="593"/>
      <c r="D27" s="593"/>
      <c r="E27" s="593"/>
      <c r="F27" s="593"/>
      <c r="G27" s="593"/>
      <c r="H27" s="593"/>
      <c r="I27" s="593"/>
      <c r="J27" s="593"/>
      <c r="K27" s="249" t="s">
        <v>346</v>
      </c>
    </row>
    <row r="28" spans="1:11" s="217" customFormat="1" ht="15" x14ac:dyDescent="0.25">
      <c r="A28" s="592" t="str">
        <f>IF(ISBLANK(Budget!R47),"",Budget!A47)</f>
        <v/>
      </c>
      <c r="B28" s="592"/>
      <c r="C28" s="592"/>
      <c r="D28" s="592"/>
      <c r="E28" s="592"/>
      <c r="F28" s="592"/>
      <c r="G28" s="592"/>
      <c r="H28" s="592"/>
      <c r="I28" s="592"/>
      <c r="J28" s="592"/>
      <c r="K28" s="247">
        <f>IF(Budget!R47&gt;0,Budget!R47,0)</f>
        <v>0</v>
      </c>
    </row>
    <row r="29" spans="1:11" s="217" customFormat="1" ht="15" x14ac:dyDescent="0.25">
      <c r="A29" s="592" t="str">
        <f>IF(ISBLANK(Budget!R48),"",Budget!A48)</f>
        <v/>
      </c>
      <c r="B29" s="592"/>
      <c r="C29" s="592"/>
      <c r="D29" s="592"/>
      <c r="E29" s="592"/>
      <c r="F29" s="592"/>
      <c r="G29" s="592"/>
      <c r="H29" s="592"/>
      <c r="I29" s="592"/>
      <c r="J29" s="592"/>
      <c r="K29" s="247">
        <f>IF(Budget!R48&gt;0,Budget!R48,0)</f>
        <v>0</v>
      </c>
    </row>
    <row r="30" spans="1:11" s="217" customFormat="1" ht="15" x14ac:dyDescent="0.25">
      <c r="A30" s="592" t="str">
        <f>IF(ISBLANK(Budget!R49),"",Budget!A49)</f>
        <v/>
      </c>
      <c r="B30" s="592"/>
      <c r="C30" s="592"/>
      <c r="D30" s="592"/>
      <c r="E30" s="592"/>
      <c r="F30" s="592"/>
      <c r="G30" s="592"/>
      <c r="H30" s="592"/>
      <c r="I30" s="592"/>
      <c r="J30" s="592"/>
      <c r="K30" s="247">
        <f>IF(Budget!R49&gt;0,Budget!R49,0)</f>
        <v>0</v>
      </c>
    </row>
    <row r="31" spans="1:11" s="217" customFormat="1" ht="15" x14ac:dyDescent="0.25">
      <c r="A31" s="592" t="str">
        <f>IF(ISBLANK(Budget!R50),"",Budget!A50)</f>
        <v/>
      </c>
      <c r="B31" s="592"/>
      <c r="C31" s="592"/>
      <c r="D31" s="592"/>
      <c r="E31" s="592"/>
      <c r="F31" s="592"/>
      <c r="G31" s="592"/>
      <c r="H31" s="592"/>
      <c r="I31" s="592"/>
      <c r="J31" s="592"/>
      <c r="K31" s="247">
        <f>IF(Budget!R50&gt;0,Budget!R50,0)</f>
        <v>0</v>
      </c>
    </row>
    <row r="32" spans="1:11" s="217" customFormat="1" thickBot="1" x14ac:dyDescent="0.3">
      <c r="A32" s="592" t="str">
        <f>IF(ISBLANK(Budget!R51),"",Budget!A51)</f>
        <v/>
      </c>
      <c r="B32" s="592"/>
      <c r="C32" s="592"/>
      <c r="D32" s="592"/>
      <c r="E32" s="592"/>
      <c r="F32" s="592"/>
      <c r="G32" s="592"/>
      <c r="H32" s="592"/>
      <c r="I32" s="592"/>
      <c r="J32" s="592"/>
      <c r="K32" s="247">
        <f>IF(Budget!R51&gt;0,Budget!R51,0)</f>
        <v>0</v>
      </c>
    </row>
    <row r="33" spans="1:12" s="217" customFormat="1" thickBot="1" x14ac:dyDescent="0.3">
      <c r="J33" s="225" t="s">
        <v>58</v>
      </c>
      <c r="K33" s="235">
        <f>TotalEquipment7</f>
        <v>0</v>
      </c>
    </row>
    <row r="34" spans="1:12" s="217" customFormat="1" ht="15" x14ac:dyDescent="0.25">
      <c r="J34" s="226"/>
      <c r="K34" s="227"/>
    </row>
    <row r="35" spans="1:12" x14ac:dyDescent="0.25">
      <c r="A35" s="228" t="s">
        <v>299</v>
      </c>
      <c r="B35" s="228"/>
      <c r="C35" s="228"/>
      <c r="D35" s="228"/>
      <c r="E35" s="228"/>
      <c r="F35" s="228"/>
      <c r="G35" s="228"/>
      <c r="H35" s="228"/>
      <c r="I35" s="228"/>
      <c r="J35" s="229"/>
      <c r="K35" s="249" t="s">
        <v>346</v>
      </c>
      <c r="L35" s="221"/>
    </row>
    <row r="36" spans="1:12" s="217" customFormat="1" ht="15" x14ac:dyDescent="0.25">
      <c r="A36" s="594" t="s">
        <v>351</v>
      </c>
      <c r="B36" s="595"/>
      <c r="C36" s="595"/>
      <c r="D36" s="595"/>
      <c r="E36" s="595"/>
      <c r="F36" s="595"/>
      <c r="G36" s="595"/>
      <c r="H36" s="595"/>
      <c r="I36" s="595"/>
      <c r="J36" s="596"/>
      <c r="K36" s="238">
        <f>Budget!R39</f>
        <v>0</v>
      </c>
    </row>
    <row r="37" spans="1:12" s="217" customFormat="1" thickBot="1" x14ac:dyDescent="0.3">
      <c r="A37" s="594" t="s">
        <v>352</v>
      </c>
      <c r="B37" s="595"/>
      <c r="C37" s="595"/>
      <c r="D37" s="595"/>
      <c r="E37" s="595"/>
      <c r="F37" s="595"/>
      <c r="G37" s="595"/>
      <c r="H37" s="595"/>
      <c r="I37" s="595"/>
      <c r="J37" s="596"/>
      <c r="K37" s="238">
        <f>Budget!R44</f>
        <v>0</v>
      </c>
    </row>
    <row r="38" spans="1:12" s="217" customFormat="1" thickBot="1" x14ac:dyDescent="0.3">
      <c r="C38" s="597"/>
      <c r="D38" s="597"/>
      <c r="J38" s="248" t="s">
        <v>353</v>
      </c>
      <c r="K38" s="235">
        <f>SUM(K36:K37)</f>
        <v>0</v>
      </c>
    </row>
    <row r="39" spans="1:12" s="217" customFormat="1" ht="15" x14ac:dyDescent="0.25">
      <c r="K39" s="252"/>
    </row>
    <row r="40" spans="1:12" x14ac:dyDescent="0.25">
      <c r="A40" s="228" t="s">
        <v>300</v>
      </c>
      <c r="B40" s="228"/>
      <c r="C40" s="228"/>
      <c r="D40" s="228"/>
      <c r="E40" s="228"/>
      <c r="F40" s="228"/>
      <c r="G40" s="228"/>
      <c r="H40" s="228"/>
      <c r="I40" s="228"/>
      <c r="J40" s="229"/>
      <c r="K40" s="249" t="s">
        <v>346</v>
      </c>
      <c r="L40" s="221"/>
    </row>
    <row r="41" spans="1:12" s="217" customFormat="1" ht="15" x14ac:dyDescent="0.25">
      <c r="A41" s="592" t="s">
        <v>315</v>
      </c>
      <c r="B41" s="592"/>
      <c r="C41" s="592"/>
      <c r="D41" s="592"/>
      <c r="E41" s="592"/>
      <c r="F41" s="592"/>
      <c r="G41" s="592"/>
      <c r="H41" s="592"/>
      <c r="I41" s="592"/>
      <c r="J41" s="592"/>
      <c r="K41" s="247">
        <f>SUMIF(Budget!$A$2:$A$504,"PS Tuition/Fees/Health Insurance",Budget!$R$2:$R$504)</f>
        <v>0</v>
      </c>
    </row>
    <row r="42" spans="1:12" s="217" customFormat="1" ht="15" x14ac:dyDescent="0.25">
      <c r="A42" s="592" t="s">
        <v>316</v>
      </c>
      <c r="B42" s="592"/>
      <c r="C42" s="592"/>
      <c r="D42" s="592"/>
      <c r="E42" s="592"/>
      <c r="F42" s="592"/>
      <c r="G42" s="592"/>
      <c r="H42" s="592"/>
      <c r="I42" s="592"/>
      <c r="J42" s="592"/>
      <c r="K42" s="247">
        <f>SUMIF(Budget!$A$2:$A$504,"PS Stipends",Budget!$R$2:$R$504)</f>
        <v>0</v>
      </c>
    </row>
    <row r="43" spans="1:12" s="217" customFormat="1" ht="15" x14ac:dyDescent="0.25">
      <c r="A43" s="592" t="s">
        <v>317</v>
      </c>
      <c r="B43" s="592"/>
      <c r="C43" s="592"/>
      <c r="D43" s="592"/>
      <c r="E43" s="592"/>
      <c r="F43" s="592"/>
      <c r="G43" s="592"/>
      <c r="H43" s="592"/>
      <c r="I43" s="592"/>
      <c r="J43" s="592"/>
      <c r="K43" s="247">
        <f>SUMIF(Budget!$A$2:$A$504,"PS Travel",Budget!$R$2:$R$504)</f>
        <v>0</v>
      </c>
    </row>
    <row r="44" spans="1:12" s="217" customFormat="1" ht="15" x14ac:dyDescent="0.25">
      <c r="A44" s="592" t="s">
        <v>318</v>
      </c>
      <c r="B44" s="592"/>
      <c r="C44" s="592"/>
      <c r="D44" s="592"/>
      <c r="E44" s="592"/>
      <c r="F44" s="592"/>
      <c r="G44" s="592"/>
      <c r="H44" s="592"/>
      <c r="I44" s="592"/>
      <c r="J44" s="592"/>
      <c r="K44" s="247">
        <f>SUMIF(Budget!$A$2:$A$504,"PS Subsistence",Budget!$R$2:$R$504)</f>
        <v>0</v>
      </c>
    </row>
    <row r="45" spans="1:12" s="217" customFormat="1" thickBot="1" x14ac:dyDescent="0.3">
      <c r="A45" s="592" t="s">
        <v>319</v>
      </c>
      <c r="B45" s="599"/>
      <c r="C45" s="592"/>
      <c r="D45" s="592"/>
      <c r="E45" s="592"/>
      <c r="F45" s="592"/>
      <c r="G45" s="592"/>
      <c r="H45" s="592"/>
      <c r="I45" s="592"/>
      <c r="J45" s="592"/>
      <c r="K45" s="236">
        <f>SUMIF(Budget!$A$2:$A$504,"PS Other",Budget!$R$2:$R$504)</f>
        <v>0</v>
      </c>
    </row>
    <row r="46" spans="1:12" s="217" customFormat="1" thickBot="1" x14ac:dyDescent="0.3">
      <c r="A46" s="231" t="s">
        <v>354</v>
      </c>
      <c r="B46" s="244"/>
      <c r="C46" s="220"/>
      <c r="D46" s="220"/>
      <c r="H46" s="600" t="s">
        <v>355</v>
      </c>
      <c r="I46" s="600"/>
      <c r="J46" s="583"/>
      <c r="K46" s="235">
        <f>SUM(K41:K45)</f>
        <v>0</v>
      </c>
    </row>
    <row r="47" spans="1:12" s="217" customFormat="1" ht="15" customHeight="1" x14ac:dyDescent="0.25">
      <c r="C47" s="597"/>
      <c r="D47" s="597"/>
      <c r="K47" s="221"/>
    </row>
    <row r="48" spans="1:12" x14ac:dyDescent="0.25">
      <c r="A48" s="126" t="s">
        <v>301</v>
      </c>
      <c r="K48" s="230" t="s">
        <v>346</v>
      </c>
    </row>
    <row r="49" spans="1:12" s="217" customFormat="1" ht="15" x14ac:dyDescent="0.25">
      <c r="A49" s="601" t="s">
        <v>120</v>
      </c>
      <c r="B49" s="601"/>
      <c r="C49" s="601"/>
      <c r="D49" s="601"/>
      <c r="E49" s="601"/>
      <c r="F49" s="601"/>
      <c r="G49" s="601"/>
      <c r="H49" s="601"/>
      <c r="I49" s="601"/>
      <c r="J49" s="601"/>
      <c r="K49" s="247">
        <f>SUMIF(Budget!$A$2:$A$504,"Materials &amp; Supplies",Budget!$R$2:$R$504)</f>
        <v>0</v>
      </c>
    </row>
    <row r="50" spans="1:12" s="217" customFormat="1" ht="15" x14ac:dyDescent="0.25">
      <c r="A50" s="601" t="s">
        <v>322</v>
      </c>
      <c r="B50" s="601"/>
      <c r="C50" s="601"/>
      <c r="D50" s="601"/>
      <c r="E50" s="601"/>
      <c r="F50" s="601"/>
      <c r="G50" s="601"/>
      <c r="H50" s="601"/>
      <c r="I50" s="601"/>
      <c r="J50" s="601"/>
      <c r="K50" s="247">
        <f>SUMIF(Budget!$A$2:$A$504,"Publication Costs/Page Charges",Budget!$R$2:$R$504)</f>
        <v>0</v>
      </c>
    </row>
    <row r="51" spans="1:12" s="217" customFormat="1" ht="15" x14ac:dyDescent="0.25">
      <c r="A51" s="601" t="s">
        <v>122</v>
      </c>
      <c r="B51" s="601"/>
      <c r="C51" s="601"/>
      <c r="D51" s="601"/>
      <c r="E51" s="601"/>
      <c r="F51" s="601"/>
      <c r="G51" s="601"/>
      <c r="H51" s="601"/>
      <c r="I51" s="601"/>
      <c r="J51" s="601"/>
      <c r="K51" s="247">
        <f>SUMIF(Budget!$A$2:$A$504,"Consultant Services",Budget!$R$2:$R$504)</f>
        <v>0</v>
      </c>
    </row>
    <row r="52" spans="1:12" s="217" customFormat="1" ht="15" x14ac:dyDescent="0.25">
      <c r="A52" s="601" t="s">
        <v>323</v>
      </c>
      <c r="B52" s="601"/>
      <c r="C52" s="601"/>
      <c r="D52" s="601"/>
      <c r="E52" s="601"/>
      <c r="F52" s="601"/>
      <c r="G52" s="601"/>
      <c r="H52" s="601"/>
      <c r="I52" s="601"/>
      <c r="J52" s="601"/>
      <c r="K52" s="247">
        <f>SUMIF(Budget!$A$2:$A$504,"Computer (ADPE) Services",Budget!$R$2:$R$504)</f>
        <v>0</v>
      </c>
    </row>
    <row r="53" spans="1:12" s="217" customFormat="1" ht="15" x14ac:dyDescent="0.25">
      <c r="A53" s="601" t="s">
        <v>360</v>
      </c>
      <c r="B53" s="601"/>
      <c r="C53" s="601"/>
      <c r="D53" s="601"/>
      <c r="E53" s="601"/>
      <c r="F53" s="601"/>
      <c r="G53" s="601"/>
      <c r="H53" s="601"/>
      <c r="I53" s="601"/>
      <c r="J53" s="601"/>
      <c r="K53" s="247">
        <f ca="1">TotalSubs7+TotalMulti7+SUMIF(Budget!$A$2:$A$504,"Vendor Contract",Budget!$R$2:$R$504)+SUMIF(Budget!$A$2:$A$504,"Service Agreement",Budget!$R$2:$R$504)</f>
        <v>0</v>
      </c>
    </row>
    <row r="54" spans="1:12" s="217" customFormat="1" x14ac:dyDescent="0.25">
      <c r="A54" s="601" t="s">
        <v>325</v>
      </c>
      <c r="B54" s="601"/>
      <c r="C54" s="601"/>
      <c r="D54" s="601"/>
      <c r="E54" s="601"/>
      <c r="F54" s="601"/>
      <c r="G54" s="601"/>
      <c r="H54" s="601"/>
      <c r="I54" s="601"/>
      <c r="J54" s="601"/>
      <c r="K54" s="242">
        <f>SUMIF(Budget!$A$2:$A$504,"Other Rentals",Budget!$R$2:$R$504)+SUMIF(Budget!$A$2:$A$504,"Space Rentals",Budget!$R$2:$R$504)+SUMIF(Budget!$A$2:$A$504,"Equipment or Facility Rental/User Fees",Budget!$R$2:$R$504)</f>
        <v>0</v>
      </c>
    </row>
    <row r="55" spans="1:12" s="217" customFormat="1" ht="15" x14ac:dyDescent="0.25">
      <c r="A55" s="601" t="s">
        <v>326</v>
      </c>
      <c r="B55" s="601"/>
      <c r="C55" s="601"/>
      <c r="D55" s="601"/>
      <c r="E55" s="601"/>
      <c r="F55" s="601"/>
      <c r="G55" s="601"/>
      <c r="H55" s="601"/>
      <c r="I55" s="601"/>
      <c r="J55" s="601"/>
      <c r="K55" s="247">
        <f>SUMIF(Budget!$A$2:$A$504,"Alterations and Renovations",Budget!$R$2:$R$504)</f>
        <v>0</v>
      </c>
    </row>
    <row r="56" spans="1:12" s="217" customFormat="1" ht="15" x14ac:dyDescent="0.25">
      <c r="A56" s="598" t="s">
        <v>379</v>
      </c>
      <c r="B56" s="598"/>
      <c r="C56" s="598"/>
      <c r="D56" s="598"/>
      <c r="E56" s="598"/>
      <c r="F56" s="598"/>
      <c r="G56" s="598"/>
      <c r="H56" s="598"/>
      <c r="I56" s="598"/>
      <c r="J56" s="598"/>
      <c r="K56" s="247">
        <f>TotalGSR7</f>
        <v>0</v>
      </c>
    </row>
    <row r="57" spans="1:12" s="217" customFormat="1" ht="15" x14ac:dyDescent="0.25">
      <c r="A57" s="598" t="s">
        <v>380</v>
      </c>
      <c r="B57" s="598"/>
      <c r="C57" s="598"/>
      <c r="D57" s="598"/>
      <c r="E57" s="598"/>
      <c r="F57" s="598"/>
      <c r="G57" s="598"/>
      <c r="H57" s="598"/>
      <c r="I57" s="598"/>
      <c r="J57" s="598"/>
      <c r="K57" s="247">
        <f>SUMIF(Budget!$A$2:$A$504,"Other",Budget!$R$2:$R$504)+SUMIF(Budget!$A$2:$A$504,"Other Maintenance Fees",Budget!$R$2:$R$504)</f>
        <v>0</v>
      </c>
    </row>
    <row r="58" spans="1:12" s="217" customFormat="1" thickBot="1" x14ac:dyDescent="0.3">
      <c r="A58" s="602" t="s">
        <v>383</v>
      </c>
      <c r="B58" s="602"/>
      <c r="C58" s="602"/>
      <c r="D58" s="602"/>
      <c r="E58" s="602"/>
      <c r="F58" s="602"/>
      <c r="G58" s="602"/>
      <c r="H58" s="602"/>
      <c r="I58" s="602"/>
      <c r="J58" s="602"/>
      <c r="K58" s="236">
        <v>0</v>
      </c>
    </row>
    <row r="59" spans="1:12" s="217" customFormat="1" ht="15" customHeight="1" thickBot="1" x14ac:dyDescent="0.3">
      <c r="I59" s="600" t="s">
        <v>21</v>
      </c>
      <c r="J59" s="583"/>
      <c r="K59" s="235">
        <f ca="1">SUM(K49:K58)</f>
        <v>0</v>
      </c>
    </row>
    <row r="60" spans="1:12" s="217" customFormat="1" ht="15" x14ac:dyDescent="0.25">
      <c r="K60" s="252"/>
    </row>
    <row r="61" spans="1:12" ht="16.5" thickBot="1" x14ac:dyDescent="0.3">
      <c r="A61" s="126" t="s">
        <v>302</v>
      </c>
      <c r="K61" s="230" t="s">
        <v>346</v>
      </c>
      <c r="L61" s="221"/>
    </row>
    <row r="62" spans="1:12" s="217" customFormat="1" ht="15" customHeight="1" thickBot="1" x14ac:dyDescent="0.3">
      <c r="A62" s="583" t="s">
        <v>359</v>
      </c>
      <c r="B62" s="584"/>
      <c r="C62" s="584"/>
      <c r="D62" s="584"/>
      <c r="E62" s="584"/>
      <c r="F62" s="584"/>
      <c r="G62" s="584"/>
      <c r="H62" s="584"/>
      <c r="I62" s="584"/>
      <c r="J62" s="584"/>
      <c r="K62" s="235">
        <f ca="1">K25+K33+K38+K46+K59</f>
        <v>0</v>
      </c>
    </row>
    <row r="63" spans="1:12" s="217" customFormat="1" ht="15" x14ac:dyDescent="0.25">
      <c r="K63" s="252"/>
    </row>
    <row r="64" spans="1:12" x14ac:dyDescent="0.25">
      <c r="A64" s="126" t="s">
        <v>303</v>
      </c>
    </row>
    <row r="65" spans="1:11" s="217" customFormat="1" ht="15" x14ac:dyDescent="0.25">
      <c r="A65" s="587" t="s">
        <v>357</v>
      </c>
      <c r="B65" s="587"/>
      <c r="C65" s="587"/>
      <c r="D65" s="587"/>
      <c r="E65" s="587"/>
      <c r="F65" s="587" t="s">
        <v>358</v>
      </c>
      <c r="G65" s="587"/>
      <c r="H65" s="587"/>
      <c r="I65" s="587"/>
      <c r="J65" s="587"/>
      <c r="K65" s="249" t="s">
        <v>346</v>
      </c>
    </row>
    <row r="66" spans="1:11" s="217" customFormat="1" ht="15" x14ac:dyDescent="0.25">
      <c r="A66" s="603" t="str">
        <f>Budget!R105</f>
        <v xml:space="preserve"> </v>
      </c>
      <c r="B66" s="603"/>
      <c r="C66" s="603"/>
      <c r="D66" s="603"/>
      <c r="E66" s="603"/>
      <c r="F66" s="588">
        <f ca="1">Budget!R101</f>
        <v>0</v>
      </c>
      <c r="G66" s="588"/>
      <c r="H66" s="588"/>
      <c r="I66" s="588"/>
      <c r="J66" s="588"/>
      <c r="K66" s="247" t="e">
        <f ca="1">ROUND((A66*F66),0)</f>
        <v>#VALUE!</v>
      </c>
    </row>
    <row r="67" spans="1:11" s="217" customFormat="1" ht="15" x14ac:dyDescent="0.25">
      <c r="A67" s="577"/>
      <c r="B67" s="577"/>
      <c r="C67" s="577"/>
      <c r="D67" s="577"/>
      <c r="E67" s="577"/>
      <c r="F67" s="578"/>
      <c r="G67" s="578"/>
      <c r="H67" s="578"/>
      <c r="I67" s="578"/>
      <c r="J67" s="578"/>
      <c r="K67" s="253">
        <f t="shared" ref="K67:K69" si="6">ROUND((A67*F67),0)</f>
        <v>0</v>
      </c>
    </row>
    <row r="68" spans="1:11" s="217" customFormat="1" ht="15" x14ac:dyDescent="0.25">
      <c r="A68" s="577"/>
      <c r="B68" s="577"/>
      <c r="C68" s="577"/>
      <c r="D68" s="577"/>
      <c r="E68" s="577"/>
      <c r="F68" s="578"/>
      <c r="G68" s="578"/>
      <c r="H68" s="578"/>
      <c r="I68" s="578"/>
      <c r="J68" s="578"/>
      <c r="K68" s="253">
        <f t="shared" si="6"/>
        <v>0</v>
      </c>
    </row>
    <row r="69" spans="1:11" s="217" customFormat="1" thickBot="1" x14ac:dyDescent="0.3">
      <c r="A69" s="577"/>
      <c r="B69" s="577"/>
      <c r="C69" s="577"/>
      <c r="D69" s="577"/>
      <c r="E69" s="577"/>
      <c r="F69" s="578"/>
      <c r="G69" s="578"/>
      <c r="H69" s="578"/>
      <c r="I69" s="578"/>
      <c r="J69" s="578"/>
      <c r="K69" s="253">
        <f t="shared" si="6"/>
        <v>0</v>
      </c>
    </row>
    <row r="70" spans="1:11" s="217" customFormat="1" thickBot="1" x14ac:dyDescent="0.3">
      <c r="I70" s="583" t="s">
        <v>27</v>
      </c>
      <c r="J70" s="584"/>
      <c r="K70" s="235" t="e">
        <f ca="1">SUM(K66:K69)</f>
        <v>#VALUE!</v>
      </c>
    </row>
    <row r="71" spans="1:11" s="217" customFormat="1" ht="15" x14ac:dyDescent="0.25">
      <c r="K71" s="252"/>
    </row>
    <row r="72" spans="1:11" ht="16.5" thickBot="1" x14ac:dyDescent="0.3">
      <c r="A72" s="126" t="s">
        <v>304</v>
      </c>
      <c r="K72" s="232" t="s">
        <v>346</v>
      </c>
    </row>
    <row r="73" spans="1:11" s="217" customFormat="1" thickBot="1" x14ac:dyDescent="0.3">
      <c r="A73" s="583" t="s">
        <v>356</v>
      </c>
      <c r="B73" s="584"/>
      <c r="C73" s="584"/>
      <c r="D73" s="584"/>
      <c r="E73" s="584"/>
      <c r="F73" s="584"/>
      <c r="G73" s="584"/>
      <c r="H73" s="584"/>
      <c r="I73" s="584"/>
      <c r="J73" s="584"/>
      <c r="K73" s="235" t="e">
        <f ca="1">K62+K70</f>
        <v>#VALUE!</v>
      </c>
    </row>
    <row r="74" spans="1:11" s="217" customFormat="1" ht="15" x14ac:dyDescent="0.25">
      <c r="K74" s="252"/>
    </row>
    <row r="75" spans="1:11" ht="16.5" thickBot="1" x14ac:dyDescent="0.3">
      <c r="A75" s="126" t="s">
        <v>305</v>
      </c>
      <c r="K75" s="230" t="s">
        <v>346</v>
      </c>
    </row>
    <row r="76" spans="1:11" s="217" customFormat="1" thickBot="1" x14ac:dyDescent="0.3">
      <c r="A76" s="604"/>
      <c r="B76" s="605"/>
      <c r="C76" s="605"/>
      <c r="D76" s="605"/>
      <c r="E76" s="605"/>
      <c r="F76" s="605"/>
      <c r="G76" s="605"/>
      <c r="H76" s="605"/>
      <c r="I76" s="605"/>
      <c r="J76" s="605"/>
      <c r="K76" s="245"/>
    </row>
    <row r="78" spans="1:11" ht="16.5" thickBot="1" x14ac:dyDescent="0.3"/>
    <row r="79" spans="1:11" x14ac:dyDescent="0.25">
      <c r="A79" s="254" t="s">
        <v>364</v>
      </c>
      <c r="B79" s="255"/>
      <c r="C79" s="255"/>
      <c r="D79" s="255"/>
      <c r="E79" s="255"/>
      <c r="F79" s="255"/>
      <c r="G79" s="255"/>
      <c r="H79" s="255"/>
      <c r="I79" s="255"/>
      <c r="J79" s="255"/>
      <c r="K79" s="256"/>
    </row>
    <row r="80" spans="1:11" x14ac:dyDescent="0.25">
      <c r="A80" s="257" t="s">
        <v>369</v>
      </c>
      <c r="B80" s="258"/>
      <c r="C80" s="258"/>
      <c r="D80" s="258"/>
      <c r="E80" s="258"/>
      <c r="F80" s="258"/>
      <c r="G80" s="258"/>
      <c r="H80" s="258"/>
      <c r="I80" s="258"/>
      <c r="J80" s="258"/>
      <c r="K80" s="259"/>
    </row>
    <row r="81" spans="1:11" x14ac:dyDescent="0.25">
      <c r="A81" s="257" t="s">
        <v>368</v>
      </c>
      <c r="B81" s="258"/>
      <c r="C81" s="258"/>
      <c r="D81" s="258"/>
      <c r="E81" s="258"/>
      <c r="F81" s="258"/>
      <c r="G81" s="258"/>
      <c r="H81" s="258"/>
      <c r="I81" s="258"/>
      <c r="J81" s="258"/>
      <c r="K81" s="259"/>
    </row>
    <row r="82" spans="1:11" x14ac:dyDescent="0.25">
      <c r="A82" s="257" t="s">
        <v>385</v>
      </c>
      <c r="B82" s="258"/>
      <c r="C82" s="258"/>
      <c r="D82" s="258"/>
      <c r="E82" s="258"/>
      <c r="F82" s="258"/>
      <c r="G82" s="258"/>
      <c r="H82" s="258"/>
      <c r="I82" s="258"/>
      <c r="J82" s="258"/>
      <c r="K82" s="259"/>
    </row>
    <row r="83" spans="1:11" ht="16.5" thickBot="1" x14ac:dyDescent="0.3">
      <c r="A83" s="260" t="s">
        <v>378</v>
      </c>
      <c r="B83" s="261"/>
      <c r="C83" s="261"/>
      <c r="D83" s="261"/>
      <c r="E83" s="261"/>
      <c r="F83" s="261"/>
      <c r="G83" s="261"/>
      <c r="H83" s="261"/>
      <c r="I83" s="261"/>
      <c r="J83" s="261"/>
      <c r="K83" s="262"/>
    </row>
  </sheetData>
  <sheetProtection algorithmName="SHA-512" hashValue="WcluIhR+g8Rh3voXLRe8C7TCK5nyn8nRHrUlp9l0UrDQvTnZmapNFSSxjiJNkggd506ARbtDupN6xspeKK6Yyw==" saltValue="8X08+yGRC8ALwBGSHSzeSA==" spinCount="100000" sheet="1" objects="1" scenarios="1" selectLockedCells="1"/>
  <mergeCells count="79">
    <mergeCell ref="A69:E69"/>
    <mergeCell ref="F69:J69"/>
    <mergeCell ref="I70:J70"/>
    <mergeCell ref="A73:J73"/>
    <mergeCell ref="A76:J76"/>
    <mergeCell ref="A66:E66"/>
    <mergeCell ref="F66:J66"/>
    <mergeCell ref="A67:E67"/>
    <mergeCell ref="F67:J67"/>
    <mergeCell ref="A68:E68"/>
    <mergeCell ref="F68:J68"/>
    <mergeCell ref="A57:J57"/>
    <mergeCell ref="A58:J58"/>
    <mergeCell ref="I59:J59"/>
    <mergeCell ref="A62:J62"/>
    <mergeCell ref="A65:E65"/>
    <mergeCell ref="F65:J65"/>
    <mergeCell ref="A56:J56"/>
    <mergeCell ref="A44:J44"/>
    <mergeCell ref="A45:J45"/>
    <mergeCell ref="H46:J46"/>
    <mergeCell ref="C47:D47"/>
    <mergeCell ref="A49:J49"/>
    <mergeCell ref="A50:J50"/>
    <mergeCell ref="A51:J51"/>
    <mergeCell ref="A52:J52"/>
    <mergeCell ref="A53:J53"/>
    <mergeCell ref="A54:J54"/>
    <mergeCell ref="A55:J55"/>
    <mergeCell ref="A43:J43"/>
    <mergeCell ref="A27:J27"/>
    <mergeCell ref="A28:J28"/>
    <mergeCell ref="A29:J29"/>
    <mergeCell ref="A30:J30"/>
    <mergeCell ref="A31:J31"/>
    <mergeCell ref="A32:J32"/>
    <mergeCell ref="A36:J36"/>
    <mergeCell ref="A37:J37"/>
    <mergeCell ref="C38:D38"/>
    <mergeCell ref="A41:J41"/>
    <mergeCell ref="A42:J42"/>
    <mergeCell ref="H25:J25"/>
    <mergeCell ref="B21:C21"/>
    <mergeCell ref="G21:H21"/>
    <mergeCell ref="I21:J21"/>
    <mergeCell ref="B22:C22"/>
    <mergeCell ref="G22:H22"/>
    <mergeCell ref="I22:J22"/>
    <mergeCell ref="B23:C23"/>
    <mergeCell ref="G23:H23"/>
    <mergeCell ref="I23:J23"/>
    <mergeCell ref="B24:D24"/>
    <mergeCell ref="H24:J24"/>
    <mergeCell ref="B19:C19"/>
    <mergeCell ref="G19:H19"/>
    <mergeCell ref="I19:J19"/>
    <mergeCell ref="B20:C20"/>
    <mergeCell ref="G20:H20"/>
    <mergeCell ref="I20:J20"/>
    <mergeCell ref="B17:C17"/>
    <mergeCell ref="G17:H17"/>
    <mergeCell ref="I17:J17"/>
    <mergeCell ref="B18:C18"/>
    <mergeCell ref="G18:H18"/>
    <mergeCell ref="I18:J18"/>
    <mergeCell ref="B15:C15"/>
    <mergeCell ref="G15:H15"/>
    <mergeCell ref="I15:J15"/>
    <mergeCell ref="B16:C16"/>
    <mergeCell ref="G16:H16"/>
    <mergeCell ref="I16:J16"/>
    <mergeCell ref="B14:C14"/>
    <mergeCell ref="G14:H14"/>
    <mergeCell ref="I14:J14"/>
    <mergeCell ref="F10:H10"/>
    <mergeCell ref="I11:J11"/>
    <mergeCell ref="B13:C13"/>
    <mergeCell ref="G13:H13"/>
    <mergeCell ref="I13:J13"/>
  </mergeCells>
  <pageMargins left="0.75" right="0.75" top="1" bottom="1" header="0.5" footer="0.5"/>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L83"/>
  <sheetViews>
    <sheetView workbookViewId="0">
      <selection activeCell="A15" sqref="A15"/>
    </sheetView>
  </sheetViews>
  <sheetFormatPr defaultColWidth="11" defaultRowHeight="15.75" x14ac:dyDescent="0.25"/>
  <cols>
    <col min="1" max="1" width="30.875" customWidth="1"/>
    <col min="2" max="8" width="10.875" customWidth="1"/>
    <col min="9" max="9" width="14.875" customWidth="1"/>
    <col min="10" max="10" width="15" customWidth="1"/>
    <col min="11" max="11" width="14.875" style="246" customWidth="1"/>
  </cols>
  <sheetData>
    <row r="1" spans="1:11" x14ac:dyDescent="0.25">
      <c r="A1" s="126" t="s">
        <v>388</v>
      </c>
    </row>
    <row r="3" spans="1:11" x14ac:dyDescent="0.25">
      <c r="A3" s="126" t="s">
        <v>297</v>
      </c>
    </row>
    <row r="4" spans="1:11" s="221" customFormat="1" ht="15" x14ac:dyDescent="0.25">
      <c r="A4" s="250" t="s">
        <v>11</v>
      </c>
      <c r="B4" s="249" t="s">
        <v>363</v>
      </c>
      <c r="C4" s="249" t="s">
        <v>332</v>
      </c>
      <c r="D4" s="249" t="s">
        <v>333</v>
      </c>
      <c r="E4" s="249" t="s">
        <v>334</v>
      </c>
      <c r="F4" s="249" t="s">
        <v>335</v>
      </c>
      <c r="G4" s="249" t="s">
        <v>336</v>
      </c>
      <c r="H4" s="249" t="s">
        <v>337</v>
      </c>
      <c r="I4" s="249" t="s">
        <v>338</v>
      </c>
      <c r="J4" s="249" t="s">
        <v>339</v>
      </c>
      <c r="K4" s="249" t="s">
        <v>340</v>
      </c>
    </row>
    <row r="5" spans="1:11" s="217" customFormat="1" ht="15" x14ac:dyDescent="0.25">
      <c r="A5" s="222" t="str">
        <f>IF(B5&gt;0,(INDEX('Salary &amp; Fringe'!$A$1:$A$300,MATCH("Senior Person 1",'Salary &amp; Fringe'!$E$1:$E$300,FALSE),1)),"")</f>
        <v/>
      </c>
      <c r="B5" s="247">
        <f>IFERROR(IF(F5&gt;0, C5, D5+E5),0)</f>
        <v>0</v>
      </c>
      <c r="C5" s="247">
        <f>IFERROR(IF(F5&gt;0, (I5/SUM(F5:H5)*12),0),0)</f>
        <v>0</v>
      </c>
      <c r="D5" s="247">
        <f>IFERROR(IF($C5=0, (I5/SUM(F5:H5)*9),0),0)</f>
        <v>0</v>
      </c>
      <c r="E5" s="247">
        <f>IFERROR(IF($C5=0, (I5/SUM(F5:H5)*3),0),0)</f>
        <v>0</v>
      </c>
      <c r="F5" s="251">
        <f>SUMIFS('Salary &amp; Fringe'!$T$1:'Salary &amp; Fringe'!$T$300,'Salary &amp; Fringe'!$E$1:'Salary &amp; Fringe'!$E$300,"Senior Person 1",'Salary &amp; Fringe'!$F$1:'Salary &amp; Fringe'!$F$300,"Calendar*")</f>
        <v>0</v>
      </c>
      <c r="G5" s="251">
        <f>SUMIFS('Salary &amp; Fringe'!$T$1:'Salary &amp; Fringe'!$T$300,'Salary &amp; Fringe'!$E$1:'Salary &amp; Fringe'!$E$300,"Senior Person 1",'Salary &amp; Fringe'!$F$1:'Salary &amp; Fringe'!$F$300,"Academic")</f>
        <v>0</v>
      </c>
      <c r="H5" s="251">
        <f>SUMIFS('Salary &amp; Fringe'!$T$1:'Salary &amp; Fringe'!$T$300,'Salary &amp; Fringe'!$E$1:'Salary &amp; Fringe'!$E$300,"Senior Person 1",'Salary &amp; Fringe'!$F$1:'Salary &amp; Fringe'!$F$300,"Summer")</f>
        <v>0</v>
      </c>
      <c r="I5" s="247">
        <f>SUMIF('Salary &amp; Fringe'!$E$1:$E$300,"Senior Person 1",'Salary &amp; Fringe'!$AD$1:$AD$300)</f>
        <v>0</v>
      </c>
      <c r="J5" s="247">
        <f>SUMIF('Salary &amp; Fringe'!$E$1:$E$300,"Senior Person 1",'Salary &amp; Fringe'!$AN$1:$AN$300)</f>
        <v>0</v>
      </c>
      <c r="K5" s="247">
        <f>I5+J5</f>
        <v>0</v>
      </c>
    </row>
    <row r="6" spans="1:11" s="217" customFormat="1" ht="15" x14ac:dyDescent="0.25">
      <c r="A6" s="222" t="str">
        <f>IF(B6&gt;0,(INDEX('Salary &amp; Fringe'!$A$1:$A$300,MATCH("Senior Person 2",'Salary &amp; Fringe'!$E$1:$E$300,FALSE),1)),"")</f>
        <v/>
      </c>
      <c r="B6" s="247">
        <f t="shared" ref="B6:B9" si="0">IFERROR(IF(F6&gt;0, C6, D6+E6),0)</f>
        <v>0</v>
      </c>
      <c r="C6" s="247">
        <f t="shared" ref="C6:C9" si="1">IFERROR(IF(F6&gt;0, (I6/SUM(F6:H6)*12),0),0)</f>
        <v>0</v>
      </c>
      <c r="D6" s="247">
        <f t="shared" ref="D6:D9" si="2">IFERROR(IF($C6=0, (I6/SUM(F6:H6)*9),0),0)</f>
        <v>0</v>
      </c>
      <c r="E6" s="247">
        <f t="shared" ref="E6:E9" si="3">IFERROR(IF($C6=0, (I6/SUM(F6:H6)*3),0),0)</f>
        <v>0</v>
      </c>
      <c r="F6" s="251">
        <f>SUMIFS('Salary &amp; Fringe'!$T$1:'Salary &amp; Fringe'!$T$300,'Salary &amp; Fringe'!$E$1:'Salary &amp; Fringe'!$E$300,"Senior Person 2",'Salary &amp; Fringe'!$F$1:'Salary &amp; Fringe'!$F$300,"Calendar*")</f>
        <v>0</v>
      </c>
      <c r="G6" s="251">
        <f>SUMIFS('Salary &amp; Fringe'!$T$1:'Salary &amp; Fringe'!$T$300,'Salary &amp; Fringe'!$E$1:'Salary &amp; Fringe'!$E$300,"Senior Person 2",'Salary &amp; Fringe'!$F$1:'Salary &amp; Fringe'!$F$300,"Academic")</f>
        <v>0</v>
      </c>
      <c r="H6" s="251">
        <f>SUMIFS('Salary &amp; Fringe'!$T$1:'Salary &amp; Fringe'!$T$300,'Salary &amp; Fringe'!$E$1:'Salary &amp; Fringe'!$E$300,"Senior Person 2",'Salary &amp; Fringe'!$F$1:'Salary &amp; Fringe'!$F$300,"Summer")</f>
        <v>0</v>
      </c>
      <c r="I6" s="247">
        <f>SUMIF('Salary &amp; Fringe'!$E$1:$E$300,"Senior Person 2",'Salary &amp; Fringe'!$AD$1:$AD$300)</f>
        <v>0</v>
      </c>
      <c r="J6" s="247">
        <f>SUMIF('Salary &amp; Fringe'!$E$1:$E$300,"Senior Person 2",'Salary &amp; Fringe'!$AN$1:$AN$300)</f>
        <v>0</v>
      </c>
      <c r="K6" s="247">
        <f t="shared" ref="K6:K10" si="4">I6+J6</f>
        <v>0</v>
      </c>
    </row>
    <row r="7" spans="1:11" s="217" customFormat="1" ht="15" x14ac:dyDescent="0.25">
      <c r="A7" s="222" t="str">
        <f>IF(B7&gt;0,(INDEX('Salary &amp; Fringe'!$A$1:$A$300,MATCH("Senior Person 3",'Salary &amp; Fringe'!$E$1:$E$300,FALSE),1)),"")</f>
        <v/>
      </c>
      <c r="B7" s="247">
        <f t="shared" si="0"/>
        <v>0</v>
      </c>
      <c r="C7" s="247">
        <f t="shared" si="1"/>
        <v>0</v>
      </c>
      <c r="D7" s="247">
        <f t="shared" si="2"/>
        <v>0</v>
      </c>
      <c r="E7" s="247">
        <f t="shared" si="3"/>
        <v>0</v>
      </c>
      <c r="F7" s="251">
        <f>SUMIFS('Salary &amp; Fringe'!$T$1:'Salary &amp; Fringe'!$T$300,'Salary &amp; Fringe'!$E$1:'Salary &amp; Fringe'!$E$300,"Senior Person 3",'Salary &amp; Fringe'!$F$1:'Salary &amp; Fringe'!$F$300,"Calendar*")</f>
        <v>0</v>
      </c>
      <c r="G7" s="251">
        <f>SUMIFS('Salary &amp; Fringe'!$T$1:'Salary &amp; Fringe'!$T$300,'Salary &amp; Fringe'!$E$1:'Salary &amp; Fringe'!$E$300,"Senior Person 3",'Salary &amp; Fringe'!$F$1:'Salary &amp; Fringe'!$F$300,"Academic")</f>
        <v>0</v>
      </c>
      <c r="H7" s="251">
        <f>SUMIFS('Salary &amp; Fringe'!$T$1:'Salary &amp; Fringe'!$T$300,'Salary &amp; Fringe'!$E$1:'Salary &amp; Fringe'!$E$300,"Senior Person 3",'Salary &amp; Fringe'!$F$1:'Salary &amp; Fringe'!$F$300,"Summer")</f>
        <v>0</v>
      </c>
      <c r="I7" s="247">
        <f>SUMIF('Salary &amp; Fringe'!$E$1:$E$300,"Senior Person 3",'Salary &amp; Fringe'!$AD$1:$AD$300)</f>
        <v>0</v>
      </c>
      <c r="J7" s="247">
        <f>SUMIF('Salary &amp; Fringe'!$E$1:$E$300,"Senior Person 3",'Salary &amp; Fringe'!$AN$1:$AN$300)</f>
        <v>0</v>
      </c>
      <c r="K7" s="247">
        <f t="shared" si="4"/>
        <v>0</v>
      </c>
    </row>
    <row r="8" spans="1:11" s="217" customFormat="1" ht="15" x14ac:dyDescent="0.25">
      <c r="A8" s="222" t="str">
        <f>IF(B8&gt;0,(INDEX('Salary &amp; Fringe'!$A$1:$A$300,MATCH("Senior Person 4",'Salary &amp; Fringe'!$E$1:$E$300,FALSE),1)),"")</f>
        <v/>
      </c>
      <c r="B8" s="247">
        <f t="shared" si="0"/>
        <v>0</v>
      </c>
      <c r="C8" s="247">
        <f t="shared" si="1"/>
        <v>0</v>
      </c>
      <c r="D8" s="247">
        <f t="shared" si="2"/>
        <v>0</v>
      </c>
      <c r="E8" s="247">
        <f t="shared" si="3"/>
        <v>0</v>
      </c>
      <c r="F8" s="251">
        <f>SUMIFS('Salary &amp; Fringe'!$T$1:'Salary &amp; Fringe'!$T$300,'Salary &amp; Fringe'!$E$1:'Salary &amp; Fringe'!$E$300,"Senior Person 4",'Salary &amp; Fringe'!$F$1:'Salary &amp; Fringe'!$F$300,"Calendar*")</f>
        <v>0</v>
      </c>
      <c r="G8" s="251">
        <f>SUMIFS('Salary &amp; Fringe'!$T$1:'Salary &amp; Fringe'!$T$300,'Salary &amp; Fringe'!$E$1:'Salary &amp; Fringe'!$E$300,"Senior Person 4",'Salary &amp; Fringe'!$F$1:'Salary &amp; Fringe'!$F$300,"Academic")</f>
        <v>0</v>
      </c>
      <c r="H8" s="251">
        <f>SUMIFS('Salary &amp; Fringe'!$T$1:'Salary &amp; Fringe'!$T$300,'Salary &amp; Fringe'!$E$1:'Salary &amp; Fringe'!$E$300,"Senior Person 4",'Salary &amp; Fringe'!$F$1:'Salary &amp; Fringe'!$F$300,"Summer")</f>
        <v>0</v>
      </c>
      <c r="I8" s="247">
        <f>SUMIF('Salary &amp; Fringe'!$E$1:$E$300,"Senior Person 4",'Salary &amp; Fringe'!$AD$1:$AD$300)</f>
        <v>0</v>
      </c>
      <c r="J8" s="247">
        <f>SUMIF('Salary &amp; Fringe'!$E$1:$E$300,"Senior Person 4",'Salary &amp; Fringe'!$AN$1:$AN$300)</f>
        <v>0</v>
      </c>
      <c r="K8" s="247">
        <f t="shared" si="4"/>
        <v>0</v>
      </c>
    </row>
    <row r="9" spans="1:11" s="217" customFormat="1" ht="15" x14ac:dyDescent="0.25">
      <c r="A9" s="222" t="str">
        <f>IF(B9&gt;0,(INDEX('Salary &amp; Fringe'!$A$1:$A$300,MATCH("Senior Person 5",'Salary &amp; Fringe'!$E$1:$E$300,FALSE),1)),"")</f>
        <v/>
      </c>
      <c r="B9" s="247">
        <f t="shared" si="0"/>
        <v>0</v>
      </c>
      <c r="C9" s="247">
        <f t="shared" si="1"/>
        <v>0</v>
      </c>
      <c r="D9" s="247">
        <f t="shared" si="2"/>
        <v>0</v>
      </c>
      <c r="E9" s="247">
        <f t="shared" si="3"/>
        <v>0</v>
      </c>
      <c r="F9" s="251">
        <f>SUMIFS('Salary &amp; Fringe'!$T$1:'Salary &amp; Fringe'!$T$300,'Salary &amp; Fringe'!$E$1:'Salary &amp; Fringe'!$E$300,"Senior Person 5",'Salary &amp; Fringe'!$F$1:'Salary &amp; Fringe'!$F$300,"Calendar*")</f>
        <v>0</v>
      </c>
      <c r="G9" s="251">
        <f>SUMIFS('Salary &amp; Fringe'!$T$1:'Salary &amp; Fringe'!$T$300,'Salary &amp; Fringe'!$E$1:'Salary &amp; Fringe'!$E$300,"Senior Person 5",'Salary &amp; Fringe'!$F$1:'Salary &amp; Fringe'!$F$300,"Academic")</f>
        <v>0</v>
      </c>
      <c r="H9" s="251">
        <f>SUMIFS('Salary &amp; Fringe'!$T$1:'Salary &amp; Fringe'!$T$300,'Salary &amp; Fringe'!$E$1:'Salary &amp; Fringe'!$E$300,"Senior Person 5",'Salary &amp; Fringe'!$F$1:'Salary &amp; Fringe'!$F$300,"Summer")</f>
        <v>0</v>
      </c>
      <c r="I9" s="247">
        <f>SUMIF('Salary &amp; Fringe'!$E$1:$E$300,"Senior Person 5",'Salary &amp; Fringe'!$AD$1:$AD$300)</f>
        <v>0</v>
      </c>
      <c r="J9" s="247">
        <f>SUMIF('Salary &amp; Fringe'!$E$1:$E$300,"Senior Person 5",'Salary &amp; Fringe'!$AN$1:$AN$300)</f>
        <v>0</v>
      </c>
      <c r="K9" s="247">
        <f t="shared" si="4"/>
        <v>0</v>
      </c>
    </row>
    <row r="10" spans="1:11" s="217" customFormat="1" thickBot="1" x14ac:dyDescent="0.3">
      <c r="A10" s="224"/>
      <c r="B10" s="241"/>
      <c r="C10" s="241"/>
      <c r="D10" s="241"/>
      <c r="E10" s="241"/>
      <c r="F10" s="583" t="s">
        <v>366</v>
      </c>
      <c r="G10" s="584"/>
      <c r="H10" s="585"/>
      <c r="I10" s="247">
        <f>SUMIF('Salary &amp; Fringe'!$E$1:$E$300,"Senior (Other)",'Salary &amp; Fringe'!$AD$1:$AD$300)</f>
        <v>0</v>
      </c>
      <c r="J10" s="247">
        <f>SUMIF('Salary &amp; Fringe'!$E$1:$E$300,"Senior (Other)",'Salary &amp; Fringe'!$AN$1:$AN$300)</f>
        <v>0</v>
      </c>
      <c r="K10" s="247">
        <f t="shared" si="4"/>
        <v>0</v>
      </c>
    </row>
    <row r="11" spans="1:11" s="217" customFormat="1" thickBot="1" x14ac:dyDescent="0.3">
      <c r="I11" s="583" t="s">
        <v>361</v>
      </c>
      <c r="J11" s="586"/>
      <c r="K11" s="235">
        <f>SUM(K5:K10)</f>
        <v>0</v>
      </c>
    </row>
    <row r="12" spans="1:11" x14ac:dyDescent="0.25">
      <c r="A12" s="126" t="s">
        <v>102</v>
      </c>
    </row>
    <row r="13" spans="1:11" s="221" customFormat="1" ht="15" x14ac:dyDescent="0.25">
      <c r="A13" s="223" t="s">
        <v>341</v>
      </c>
      <c r="B13" s="587" t="s">
        <v>342</v>
      </c>
      <c r="C13" s="587"/>
      <c r="D13" s="249" t="s">
        <v>343</v>
      </c>
      <c r="E13" s="249" t="s">
        <v>344</v>
      </c>
      <c r="F13" s="249" t="s">
        <v>345</v>
      </c>
      <c r="G13" s="587" t="s">
        <v>338</v>
      </c>
      <c r="H13" s="587"/>
      <c r="I13" s="587" t="s">
        <v>339</v>
      </c>
      <c r="J13" s="587"/>
      <c r="K13" s="249" t="s">
        <v>346</v>
      </c>
    </row>
    <row r="14" spans="1:11" s="217" customFormat="1" ht="15" x14ac:dyDescent="0.25">
      <c r="A14" s="239">
        <f>SUMIFS('Salary &amp; Fringe'!$I$1:$I$300,'Salary &amp; Fringe'!$E$1:$E$300,"Postdoc", 'Salary &amp; Fringe'!$T$1:'Salary &amp; Fringe'!$T$300, "&gt;0")</f>
        <v>0</v>
      </c>
      <c r="B14" s="580" t="s">
        <v>103</v>
      </c>
      <c r="C14" s="580"/>
      <c r="D14" s="251">
        <f>SUMIFS('Salary &amp; Fringe'!$T$1:'Salary &amp; Fringe'!$T$300,'Salary &amp; Fringe'!$E$1:'Salary &amp; Fringe'!$E$300,"Postdoc",'Salary &amp; Fringe'!$F$1:'Salary &amp; Fringe'!$F$300,"Calendar*")+SUMIFS('Salary &amp; Fringe'!$T$1:'Salary &amp; Fringe'!$T$300,'Salary &amp; Fringe'!$E$1:'Salary &amp; Fringe'!$E$300,"Postdoc",'Salary &amp; Fringe'!$F$1:'Salary &amp; Fringe'!$F$300,"Hourly")</f>
        <v>0</v>
      </c>
      <c r="E14" s="251">
        <f>SUMIFS('Salary &amp; Fringe'!$T$1:'Salary &amp; Fringe'!$T$300,'Salary &amp; Fringe'!$E$1:'Salary &amp; Fringe'!$E$300,"Postdoc",'Salary &amp; Fringe'!$F$1:'Salary &amp; Fringe'!$F$300,"Academic")</f>
        <v>0</v>
      </c>
      <c r="F14" s="251">
        <f>SUMIFS('Salary &amp; Fringe'!$T$1:'Salary &amp; Fringe'!$T$300,'Salary &amp; Fringe'!$E$1:'Salary &amp; Fringe'!$E$300,"Postdoc",'Salary &amp; Fringe'!$F$1:'Salary &amp; Fringe'!$F$300,"Summer")</f>
        <v>0</v>
      </c>
      <c r="G14" s="581">
        <f>SUMIF('Salary &amp; Fringe'!$E$1:$E$300,"Postdoc",'Salary &amp; Fringe'!$AD$1:$AD$300)</f>
        <v>0</v>
      </c>
      <c r="H14" s="582"/>
      <c r="I14" s="581">
        <f>SUMIF('Salary &amp; Fringe'!$E$1:$E$300,"Postdoc",'Salary &amp; Fringe'!$AN$1:$AN$300)</f>
        <v>0</v>
      </c>
      <c r="J14" s="582"/>
      <c r="K14" s="247">
        <f>G14+I14</f>
        <v>0</v>
      </c>
    </row>
    <row r="15" spans="1:11" s="217" customFormat="1" ht="15" x14ac:dyDescent="0.25">
      <c r="A15" s="243"/>
      <c r="B15" s="580" t="s">
        <v>105</v>
      </c>
      <c r="C15" s="580"/>
      <c r="D15" s="251">
        <f>SUMIFS('Salary &amp; Fringe'!$T$1:'Salary &amp; Fringe'!$T$300,'Salary &amp; Fringe'!$E$1:'Salary &amp; Fringe'!$E$300,"Grad",'Salary &amp; Fringe'!$F$1:'Salary &amp; Fringe'!$F$300,"Calendar*")+SUMIFS('Salary &amp; Fringe'!$T$1:'Salary &amp; Fringe'!$T$300,'Salary &amp; Fringe'!$E$1:'Salary &amp; Fringe'!$E$300,"Grad",'Salary &amp; Fringe'!$F$1:'Salary &amp; Fringe'!$F$300,"Hourly")</f>
        <v>0</v>
      </c>
      <c r="E15" s="251">
        <f>SUMIFS('Salary &amp; Fringe'!$T$1:'Salary &amp; Fringe'!$T$300,'Salary &amp; Fringe'!$E$1:'Salary &amp; Fringe'!$E$300,"Grad",'Salary &amp; Fringe'!$F$1:'Salary &amp; Fringe'!$F$300,"Academic")*2</f>
        <v>0</v>
      </c>
      <c r="F15" s="251">
        <f>SUMIFS('Salary &amp; Fringe'!$T$1:'Salary &amp; Fringe'!$T$300,'Salary &amp; Fringe'!$E$1:'Salary &amp; Fringe'!$E$300,"Grad",'Salary &amp; Fringe'!$F$1:'Salary &amp; Fringe'!$F$300,"Summer")*2</f>
        <v>0</v>
      </c>
      <c r="G15" s="588">
        <f>SUMIF('Salary &amp; Fringe'!$E$1:$E$300,"Grad",'Salary &amp; Fringe'!$AD$1:$AD$300)</f>
        <v>0</v>
      </c>
      <c r="H15" s="588"/>
      <c r="I15" s="588">
        <f>SUMIF('Salary &amp; Fringe'!$E$1:$E$300,"Grad",'Salary &amp; Fringe'!$AN$1:$AN$300)</f>
        <v>0</v>
      </c>
      <c r="J15" s="588"/>
      <c r="K15" s="247">
        <f t="shared" ref="K15:K23" si="5">G15+I15</f>
        <v>0</v>
      </c>
    </row>
    <row r="16" spans="1:11" s="217" customFormat="1" ht="15" x14ac:dyDescent="0.25">
      <c r="A16" s="243"/>
      <c r="B16" s="580" t="s">
        <v>367</v>
      </c>
      <c r="C16" s="580"/>
      <c r="D16" s="251">
        <f>SUMIF('Salary &amp; Fringe'!$E$1:$E$300,"Undergrad",'Salary &amp; Fringe'!$T$1:$T$300)</f>
        <v>0</v>
      </c>
      <c r="E16" s="251">
        <v>0</v>
      </c>
      <c r="F16" s="251">
        <v>0</v>
      </c>
      <c r="G16" s="588">
        <f>SUMIF('Salary &amp; Fringe'!$E$1:$E$300,"Undergrad",'Salary &amp; Fringe'!$AD$1:$AD$300)</f>
        <v>0</v>
      </c>
      <c r="H16" s="588"/>
      <c r="I16" s="588">
        <f>SUMIF('Salary &amp; Fringe'!$E$1:$E$300,"Undergrad",'Salary &amp; Fringe'!$AN$1:$AN$300)</f>
        <v>0</v>
      </c>
      <c r="J16" s="588"/>
      <c r="K16" s="247">
        <f t="shared" si="5"/>
        <v>0</v>
      </c>
    </row>
    <row r="17" spans="1:11" s="217" customFormat="1" ht="15" x14ac:dyDescent="0.25">
      <c r="A17" s="251">
        <f>SUMIFS('Salary &amp; Fringe'!$I$1:$I$300,'Salary &amp; Fringe'!$E$1:$E$300,"Clerical", 'Salary &amp; Fringe'!$T$1:'Salary &amp; Fringe'!$T$300, "&gt;0")</f>
        <v>0</v>
      </c>
      <c r="B17" s="580" t="s">
        <v>348</v>
      </c>
      <c r="C17" s="580"/>
      <c r="D17" s="251">
        <f>SUMIFS('Salary &amp; Fringe'!$T$1:'Salary &amp; Fringe'!$T$300,'Salary &amp; Fringe'!$E$1:'Salary &amp; Fringe'!$E$300,"Clerical",'Salary &amp; Fringe'!$F$1:'Salary &amp; Fringe'!$F$300,"Calendar*")+SUMIFS('Salary &amp; Fringe'!$T$1:'Salary &amp; Fringe'!$T$300,'Salary &amp; Fringe'!$E$1:'Salary &amp; Fringe'!$E$300,"Clerical",'Salary &amp; Fringe'!$F$1:'Salary &amp; Fringe'!$F$300,"Hourly")</f>
        <v>0</v>
      </c>
      <c r="E17" s="251">
        <f>SUMIFS('Salary &amp; Fringe'!$T$1:'Salary &amp; Fringe'!$T$300,'Salary &amp; Fringe'!$E$1:'Salary &amp; Fringe'!$E$300,"Clerical",'Salary &amp; Fringe'!$F$1:'Salary &amp; Fringe'!$F$300,"Academic")</f>
        <v>0</v>
      </c>
      <c r="F17" s="251">
        <f>SUMIFS('Salary &amp; Fringe'!$T$1:'Salary &amp; Fringe'!$T$300,'Salary &amp; Fringe'!$E$1:'Salary &amp; Fringe'!$E$300,"Clerical",'Salary &amp; Fringe'!$F$1:'Salary &amp; Fringe'!$F$300,"Summer")</f>
        <v>0</v>
      </c>
      <c r="G17" s="588">
        <f>SUMIF('Salary &amp; Fringe'!$E$1:$E$300,"Clerical",'Salary &amp; Fringe'!$AD$1:$AD$300)</f>
        <v>0</v>
      </c>
      <c r="H17" s="588"/>
      <c r="I17" s="588">
        <f>SUMIF('Salary &amp; Fringe'!$E$1:$E$300,"Clerical",'Salary &amp; Fringe'!$AN$1:$AN$300)</f>
        <v>0</v>
      </c>
      <c r="J17" s="588"/>
      <c r="K17" s="247">
        <f t="shared" si="5"/>
        <v>0</v>
      </c>
    </row>
    <row r="18" spans="1:11" s="217" customFormat="1" ht="15" x14ac:dyDescent="0.25">
      <c r="A18" s="251">
        <f>SUMIFS('Salary &amp; Fringe'!$I$1:$I$300,'Salary &amp; Fringe'!$E$1:$E$300,"Other 1", 'Salary &amp; Fringe'!$T$1:'Salary &amp; Fringe'!$T$300, "&gt;0")</f>
        <v>0</v>
      </c>
      <c r="B18" s="580" t="str">
        <f>IF(G18&gt;0,(INDEX('Salary &amp; Fringe'!$B$1:$B$300,MATCH("Other 1",'Salary &amp; Fringe'!$E$1:$E$300,FALSE),1)),"")</f>
        <v/>
      </c>
      <c r="C18" s="580"/>
      <c r="D18" s="251">
        <f>SUMIFS('Salary &amp; Fringe'!$T$1:'Salary &amp; Fringe'!$T$300,'Salary &amp; Fringe'!$E$1:'Salary &amp; Fringe'!$E$300,"Other 1",'Salary &amp; Fringe'!$F$1:'Salary &amp; Fringe'!$F$300,"Calendar*")+SUMIFS('Salary &amp; Fringe'!$T$1:'Salary &amp; Fringe'!$T$300,'Salary &amp; Fringe'!$E$1:'Salary &amp; Fringe'!$E$300,"Other 1",'Salary &amp; Fringe'!$F$1:'Salary &amp; Fringe'!$F$300,"Hourly")</f>
        <v>0</v>
      </c>
      <c r="E18" s="251">
        <f>SUMIFS('Salary &amp; Fringe'!$T$1:'Salary &amp; Fringe'!$T$300,'Salary &amp; Fringe'!$E$1:'Salary &amp; Fringe'!$E$300,"Other 1",'Salary &amp; Fringe'!$F$1:'Salary &amp; Fringe'!$F$300,"Academic")</f>
        <v>0</v>
      </c>
      <c r="F18" s="251">
        <f>SUMIFS('Salary &amp; Fringe'!$T$1:'Salary &amp; Fringe'!$T$300,'Salary &amp; Fringe'!$E$1:'Salary &amp; Fringe'!$E$300,"Other 1",'Salary &amp; Fringe'!$F$1:'Salary &amp; Fringe'!$F$300,"Summer")</f>
        <v>0</v>
      </c>
      <c r="G18" s="588">
        <f>SUMIF('Salary &amp; Fringe'!$E$1:$E$300,"Other 1",'Salary &amp; Fringe'!$AD$1:$AD$300)</f>
        <v>0</v>
      </c>
      <c r="H18" s="588"/>
      <c r="I18" s="588">
        <f>SUMIF('Salary &amp; Fringe'!$E$1:$E$300,"Other 1",'Salary &amp; Fringe'!$AN$1:$AN$300)</f>
        <v>0</v>
      </c>
      <c r="J18" s="588"/>
      <c r="K18" s="247">
        <f t="shared" si="5"/>
        <v>0</v>
      </c>
    </row>
    <row r="19" spans="1:11" s="217" customFormat="1" ht="15" x14ac:dyDescent="0.25">
      <c r="A19" s="251">
        <f>SUMIFS('Salary &amp; Fringe'!$I$1:$I$300,'Salary &amp; Fringe'!$E$1:$E$300,"Other 2", 'Salary &amp; Fringe'!$T$1:'Salary &amp; Fringe'!$T$300, "&gt;0")</f>
        <v>0</v>
      </c>
      <c r="B19" s="580" t="str">
        <f>IF(G19&gt;0,(INDEX('Salary &amp; Fringe'!$B$1:$B$300,MATCH("Other 2",'Salary &amp; Fringe'!$E$1:$E$300,FALSE),1)),"")</f>
        <v/>
      </c>
      <c r="C19" s="580"/>
      <c r="D19" s="251">
        <f>SUMIFS('Salary &amp; Fringe'!$T$1:'Salary &amp; Fringe'!$T$300,'Salary &amp; Fringe'!$E$1:'Salary &amp; Fringe'!$E$300,"Other 2",'Salary &amp; Fringe'!$F$1:'Salary &amp; Fringe'!$F$300,"Calendar*")+SUMIFS('Salary &amp; Fringe'!$T$1:'Salary &amp; Fringe'!$T$300,'Salary &amp; Fringe'!$E$1:'Salary &amp; Fringe'!$E$300,"Other 2",'Salary &amp; Fringe'!$F$1:'Salary &amp; Fringe'!$F$300,"Hourly")</f>
        <v>0</v>
      </c>
      <c r="E19" s="251">
        <f>SUMIFS('Salary &amp; Fringe'!$T$1:'Salary &amp; Fringe'!$T$300,'Salary &amp; Fringe'!$E$1:'Salary &amp; Fringe'!$E$300,"Other 2",'Salary &amp; Fringe'!$F$1:'Salary &amp; Fringe'!$F$300,"Academic")</f>
        <v>0</v>
      </c>
      <c r="F19" s="251">
        <f>SUMIFS('Salary &amp; Fringe'!$T$1:'Salary &amp; Fringe'!$T$300,'Salary &amp; Fringe'!$E$1:'Salary &amp; Fringe'!$E$300,"Other 2",'Salary &amp; Fringe'!$F$1:'Salary &amp; Fringe'!$F$300,"Summer")</f>
        <v>0</v>
      </c>
      <c r="G19" s="588">
        <f>SUMIF('Salary &amp; Fringe'!$E$1:$E$300,"Other 2",'Salary &amp; Fringe'!$AD$1:$AD$300)</f>
        <v>0</v>
      </c>
      <c r="H19" s="588"/>
      <c r="I19" s="588">
        <f>SUMIF('Salary &amp; Fringe'!$E$1:$E$300,"Other 2",'Salary &amp; Fringe'!$AN$1:$AN$300)</f>
        <v>0</v>
      </c>
      <c r="J19" s="588"/>
      <c r="K19" s="247">
        <f t="shared" si="5"/>
        <v>0</v>
      </c>
    </row>
    <row r="20" spans="1:11" s="217" customFormat="1" ht="15" x14ac:dyDescent="0.25">
      <c r="A20" s="251">
        <f>SUMIFS('Salary &amp; Fringe'!$I$1:$I$300,'Salary &amp; Fringe'!$E$1:$E$300,"Other 3", 'Salary &amp; Fringe'!$T$1:'Salary &amp; Fringe'!$T$300, "&gt;0")</f>
        <v>0</v>
      </c>
      <c r="B20" s="580" t="str">
        <f>IF(G20&gt;0,(INDEX('Salary &amp; Fringe'!$B$1:$B$300,MATCH("Other 3",'Salary &amp; Fringe'!$E$1:$E$300,FALSE),1)),"")</f>
        <v/>
      </c>
      <c r="C20" s="580"/>
      <c r="D20" s="251">
        <f>SUMIFS('Salary &amp; Fringe'!$T$1:'Salary &amp; Fringe'!$T$300,'Salary &amp; Fringe'!$E$1:'Salary &amp; Fringe'!$E$300,"Other 3",'Salary &amp; Fringe'!$F$1:'Salary &amp; Fringe'!$F$300,"Calendar*")+SUMIFS('Salary &amp; Fringe'!$T$1:'Salary &amp; Fringe'!$T$300,'Salary &amp; Fringe'!$E$1:'Salary &amp; Fringe'!$E$300,"Other 3",'Salary &amp; Fringe'!$F$1:'Salary &amp; Fringe'!$F$300,"Hourly")</f>
        <v>0</v>
      </c>
      <c r="E20" s="251">
        <f>SUMIFS('Salary &amp; Fringe'!$T$1:'Salary &amp; Fringe'!$T$300,'Salary &amp; Fringe'!$E$1:'Salary &amp; Fringe'!$E$300,"Other 3",'Salary &amp; Fringe'!$F$1:'Salary &amp; Fringe'!$F$300,"Academic")</f>
        <v>0</v>
      </c>
      <c r="F20" s="251">
        <f>SUMIFS('Salary &amp; Fringe'!$T$1:'Salary &amp; Fringe'!$T$300,'Salary &amp; Fringe'!$E$1:'Salary &amp; Fringe'!$E$300,"Other 3",'Salary &amp; Fringe'!$F$1:'Salary &amp; Fringe'!$F$300,"Summer")</f>
        <v>0</v>
      </c>
      <c r="G20" s="588">
        <f>SUMIF('Salary &amp; Fringe'!$E$1:$E$300,"Other 3",'Salary &amp; Fringe'!$AD$1:$AD$300)</f>
        <v>0</v>
      </c>
      <c r="H20" s="588"/>
      <c r="I20" s="588">
        <f>SUMIF('Salary &amp; Fringe'!$E$1:$E$300,"Other 3",'Salary &amp; Fringe'!$AN$1:$AN$300)</f>
        <v>0</v>
      </c>
      <c r="J20" s="588"/>
      <c r="K20" s="247">
        <f t="shared" si="5"/>
        <v>0</v>
      </c>
    </row>
    <row r="21" spans="1:11" s="217" customFormat="1" ht="15" x14ac:dyDescent="0.25">
      <c r="A21" s="251">
        <f>SUMIFS('Salary &amp; Fringe'!$I$1:$I$300,'Salary &amp; Fringe'!$E$1:$E$300,"Other 4", 'Salary &amp; Fringe'!$T$1:'Salary &amp; Fringe'!$T$300, "&gt;0")</f>
        <v>0</v>
      </c>
      <c r="B21" s="580" t="str">
        <f>IF(G21&gt;0,(INDEX('Salary &amp; Fringe'!$B$1:$B$300,MATCH("Other 4",'Salary &amp; Fringe'!$E$1:$E$300,FALSE),1)),"")</f>
        <v/>
      </c>
      <c r="C21" s="580"/>
      <c r="D21" s="251">
        <f>SUMIFS('Salary &amp; Fringe'!$T$1:'Salary &amp; Fringe'!$T$300,'Salary &amp; Fringe'!$E$1:'Salary &amp; Fringe'!$E$300,"Other 4",'Salary &amp; Fringe'!$F$1:'Salary &amp; Fringe'!$F$300,"Calendar*")+SUMIFS('Salary &amp; Fringe'!$T$1:'Salary &amp; Fringe'!$T$300,'Salary &amp; Fringe'!$E$1:'Salary &amp; Fringe'!$E$300,"Other 4",'Salary &amp; Fringe'!$F$1:'Salary &amp; Fringe'!$F$300,"Hourly")</f>
        <v>0</v>
      </c>
      <c r="E21" s="251">
        <f>SUMIFS('Salary &amp; Fringe'!$T$1:'Salary &amp; Fringe'!$T$300,'Salary &amp; Fringe'!$E$1:'Salary &amp; Fringe'!$E$300,"Other 4",'Salary &amp; Fringe'!$F$1:'Salary &amp; Fringe'!$F$300,"Academic")</f>
        <v>0</v>
      </c>
      <c r="F21" s="251">
        <f>SUMIFS('Salary &amp; Fringe'!$T$1:'Salary &amp; Fringe'!$T$300,'Salary &amp; Fringe'!$E$1:'Salary &amp; Fringe'!$E$300,"Other 4",'Salary &amp; Fringe'!$F$1:'Salary &amp; Fringe'!$F$300,"Summer")</f>
        <v>0</v>
      </c>
      <c r="G21" s="588">
        <f>SUMIF('Salary &amp; Fringe'!$E$1:$E$300,"Other 4",'Salary &amp; Fringe'!$AD$1:$AD$300)</f>
        <v>0</v>
      </c>
      <c r="H21" s="588"/>
      <c r="I21" s="588">
        <f>SUMIF('Salary &amp; Fringe'!$E$1:$E$300,"Other 4",'Salary &amp; Fringe'!$AN$1:$AN$300)</f>
        <v>0</v>
      </c>
      <c r="J21" s="588"/>
      <c r="K21" s="247">
        <f t="shared" si="5"/>
        <v>0</v>
      </c>
    </row>
    <row r="22" spans="1:11" s="217" customFormat="1" ht="15" x14ac:dyDescent="0.25">
      <c r="A22" s="251">
        <f>SUMIFS('Salary &amp; Fringe'!$I$1:$I$300,'Salary &amp; Fringe'!$E$1:$E$300,"Other 5", 'Salary &amp; Fringe'!$T$1:'Salary &amp; Fringe'!$T$300, "&gt;0")</f>
        <v>0</v>
      </c>
      <c r="B22" s="580" t="str">
        <f>IF(G22&gt;0,(INDEX('Salary &amp; Fringe'!$B$1:$B$300,MATCH("Other 5",'Salary &amp; Fringe'!$E$1:$E$300,FALSE),1)),"")</f>
        <v/>
      </c>
      <c r="C22" s="580"/>
      <c r="D22" s="251">
        <f>SUMIFS('Salary &amp; Fringe'!$T$1:'Salary &amp; Fringe'!$T$300,'Salary &amp; Fringe'!$E$1:'Salary &amp; Fringe'!$E$300,"Other 5",'Salary &amp; Fringe'!$F$1:'Salary &amp; Fringe'!$F$300,"Calendar*")+SUMIFS('Salary &amp; Fringe'!$T$1:'Salary &amp; Fringe'!$T$300,'Salary &amp; Fringe'!$E$1:'Salary &amp; Fringe'!$E$300,"Other 5",'Salary &amp; Fringe'!$F$1:'Salary &amp; Fringe'!$F$300,"Hourly")</f>
        <v>0</v>
      </c>
      <c r="E22" s="251">
        <f>SUMIFS('Salary &amp; Fringe'!$T$1:'Salary &amp; Fringe'!$T$300,'Salary &amp; Fringe'!$E$1:'Salary &amp; Fringe'!$E$300,"Other 5",'Salary &amp; Fringe'!$F$1:'Salary &amp; Fringe'!$F$300,"Academic")</f>
        <v>0</v>
      </c>
      <c r="F22" s="251">
        <f>SUMIFS('Salary &amp; Fringe'!$T$1:'Salary &amp; Fringe'!$T$300,'Salary &amp; Fringe'!$E$1:'Salary &amp; Fringe'!$E$300,"Other 5",'Salary &amp; Fringe'!$F$1:'Salary &amp; Fringe'!$F$300,"Summer")</f>
        <v>0</v>
      </c>
      <c r="G22" s="588">
        <f>SUMIF('Salary &amp; Fringe'!$E$1:$E$300,"Other 5",'Salary &amp; Fringe'!$AD$1:$AD$300)</f>
        <v>0</v>
      </c>
      <c r="H22" s="588"/>
      <c r="I22" s="588">
        <f>SUMIF('Salary &amp; Fringe'!$E$1:$E$300,"Other 5",'Salary &amp; Fringe'!$AN$1:$AN$300)</f>
        <v>0</v>
      </c>
      <c r="J22" s="588"/>
      <c r="K22" s="247">
        <f t="shared" si="5"/>
        <v>0</v>
      </c>
    </row>
    <row r="23" spans="1:11" s="217" customFormat="1" thickBot="1" x14ac:dyDescent="0.3">
      <c r="A23" s="234">
        <f>SUMIFS('Salary &amp; Fringe'!$I$1:$I$300,'Salary &amp; Fringe'!$E$1:$E$300,"Other 6", 'Salary &amp; Fringe'!$T$1:'Salary &amp; Fringe'!$T$300, "&gt;0")</f>
        <v>0</v>
      </c>
      <c r="B23" s="580" t="str">
        <f>IF(G23&gt;0,(INDEX('Salary &amp; Fringe'!$B$1:$B$300,MATCH("Other 6",'Salary &amp; Fringe'!$E$1:$E$300,FALSE),1)),"")</f>
        <v/>
      </c>
      <c r="C23" s="580"/>
      <c r="D23" s="251">
        <f>SUMIFS('Salary &amp; Fringe'!$T$1:'Salary &amp; Fringe'!$T$300,'Salary &amp; Fringe'!$E$1:'Salary &amp; Fringe'!$E$300,"Other 6",'Salary &amp; Fringe'!$F$1:'Salary &amp; Fringe'!$F$300,"Calendar*")+SUMIFS('Salary &amp; Fringe'!$T$1:'Salary &amp; Fringe'!$T$300,'Salary &amp; Fringe'!$E$1:'Salary &amp; Fringe'!$E$300,"Other 6",'Salary &amp; Fringe'!$F$1:'Salary &amp; Fringe'!$F$300,"Hourly")</f>
        <v>0</v>
      </c>
      <c r="E23" s="251">
        <f>SUMIFS('Salary &amp; Fringe'!$T$1:'Salary &amp; Fringe'!$T$300,'Salary &amp; Fringe'!$E$1:'Salary &amp; Fringe'!$E$300,"Other 6",'Salary &amp; Fringe'!$F$1:'Salary &amp; Fringe'!$F$300,"Academic")</f>
        <v>0</v>
      </c>
      <c r="F23" s="251">
        <f>SUMIFS('Salary &amp; Fringe'!$T$1:'Salary &amp; Fringe'!$T$300,'Salary &amp; Fringe'!$E$1:'Salary &amp; Fringe'!$E$300,"Other 6",'Salary &amp; Fringe'!$F$1:'Salary &amp; Fringe'!$F$300,"Summer")</f>
        <v>0</v>
      </c>
      <c r="G23" s="588">
        <f>SUMIF('Salary &amp; Fringe'!$E$1:$E$300,"Other 6",'Salary &amp; Fringe'!$AD$1:$AD$300)</f>
        <v>0</v>
      </c>
      <c r="H23" s="588"/>
      <c r="I23" s="588">
        <f>SUMIF('Salary &amp; Fringe'!$E$1:$E$300,"Other 6",'Salary &amp; Fringe'!$AN$1:$AN$300)</f>
        <v>0</v>
      </c>
      <c r="J23" s="588"/>
      <c r="K23" s="247">
        <f t="shared" si="5"/>
        <v>0</v>
      </c>
    </row>
    <row r="24" spans="1:11" s="218" customFormat="1" thickBot="1" x14ac:dyDescent="0.3">
      <c r="A24" s="237">
        <f>SUM(A14:A23)</f>
        <v>0</v>
      </c>
      <c r="B24" s="589" t="s">
        <v>376</v>
      </c>
      <c r="C24" s="590"/>
      <c r="D24" s="591"/>
      <c r="H24" s="583" t="s">
        <v>349</v>
      </c>
      <c r="I24" s="584"/>
      <c r="J24" s="585"/>
      <c r="K24" s="240">
        <f>SUM(K14:K23)</f>
        <v>0</v>
      </c>
    </row>
    <row r="25" spans="1:11" s="217" customFormat="1" thickBot="1" x14ac:dyDescent="0.3">
      <c r="A25" s="224"/>
      <c r="H25" s="583" t="s">
        <v>310</v>
      </c>
      <c r="I25" s="584"/>
      <c r="J25" s="585"/>
      <c r="K25" s="235">
        <f>K11+K24</f>
        <v>0</v>
      </c>
    </row>
    <row r="26" spans="1:11" x14ac:dyDescent="0.25">
      <c r="A26" s="126" t="s">
        <v>298</v>
      </c>
    </row>
    <row r="27" spans="1:11" x14ac:dyDescent="0.25">
      <c r="A27" s="593" t="s">
        <v>350</v>
      </c>
      <c r="B27" s="593"/>
      <c r="C27" s="593"/>
      <c r="D27" s="593"/>
      <c r="E27" s="593"/>
      <c r="F27" s="593"/>
      <c r="G27" s="593"/>
      <c r="H27" s="593"/>
      <c r="I27" s="593"/>
      <c r="J27" s="593"/>
      <c r="K27" s="249" t="s">
        <v>346</v>
      </c>
    </row>
    <row r="28" spans="1:11" s="217" customFormat="1" ht="15" x14ac:dyDescent="0.25">
      <c r="A28" s="592" t="str">
        <f>IF(ISBLANK(Budget!T47),"",Budget!A47)</f>
        <v/>
      </c>
      <c r="B28" s="592"/>
      <c r="C28" s="592"/>
      <c r="D28" s="592"/>
      <c r="E28" s="592"/>
      <c r="F28" s="592"/>
      <c r="G28" s="592"/>
      <c r="H28" s="592"/>
      <c r="I28" s="592"/>
      <c r="J28" s="592"/>
      <c r="K28" s="247">
        <f>IF(Budget!T47&gt;0,Budget!T47,0)</f>
        <v>0</v>
      </c>
    </row>
    <row r="29" spans="1:11" s="217" customFormat="1" ht="15" x14ac:dyDescent="0.25">
      <c r="A29" s="592" t="str">
        <f>IF(ISBLANK(Budget!T48),"",Budget!A48)</f>
        <v/>
      </c>
      <c r="B29" s="592"/>
      <c r="C29" s="592"/>
      <c r="D29" s="592"/>
      <c r="E29" s="592"/>
      <c r="F29" s="592"/>
      <c r="G29" s="592"/>
      <c r="H29" s="592"/>
      <c r="I29" s="592"/>
      <c r="J29" s="592"/>
      <c r="K29" s="247">
        <f>IF(Budget!T48&gt;0,Budget!T48,0)</f>
        <v>0</v>
      </c>
    </row>
    <row r="30" spans="1:11" s="217" customFormat="1" ht="15" x14ac:dyDescent="0.25">
      <c r="A30" s="592" t="str">
        <f>IF(ISBLANK(Budget!T49),"",Budget!A49)</f>
        <v/>
      </c>
      <c r="B30" s="592"/>
      <c r="C30" s="592"/>
      <c r="D30" s="592"/>
      <c r="E30" s="592"/>
      <c r="F30" s="592"/>
      <c r="G30" s="592"/>
      <c r="H30" s="592"/>
      <c r="I30" s="592"/>
      <c r="J30" s="592"/>
      <c r="K30" s="247">
        <f>IF(Budget!T49&gt;0,Budget!T49,0)</f>
        <v>0</v>
      </c>
    </row>
    <row r="31" spans="1:11" s="217" customFormat="1" ht="15" x14ac:dyDescent="0.25">
      <c r="A31" s="592" t="str">
        <f>IF(ISBLANK(Budget!T50),"",Budget!A50)</f>
        <v/>
      </c>
      <c r="B31" s="592"/>
      <c r="C31" s="592"/>
      <c r="D31" s="592"/>
      <c r="E31" s="592"/>
      <c r="F31" s="592"/>
      <c r="G31" s="592"/>
      <c r="H31" s="592"/>
      <c r="I31" s="592"/>
      <c r="J31" s="592"/>
      <c r="K31" s="247">
        <f>IF(Budget!T50&gt;0,Budget!T50,0)</f>
        <v>0</v>
      </c>
    </row>
    <row r="32" spans="1:11" s="217" customFormat="1" thickBot="1" x14ac:dyDescent="0.3">
      <c r="A32" s="592" t="str">
        <f>IF(ISBLANK(Budget!T51),"",Budget!A51)</f>
        <v/>
      </c>
      <c r="B32" s="592"/>
      <c r="C32" s="592"/>
      <c r="D32" s="592"/>
      <c r="E32" s="592"/>
      <c r="F32" s="592"/>
      <c r="G32" s="592"/>
      <c r="H32" s="592"/>
      <c r="I32" s="592"/>
      <c r="J32" s="592"/>
      <c r="K32" s="247">
        <f>IF(Budget!T51&gt;0,Budget!T51,0)</f>
        <v>0</v>
      </c>
    </row>
    <row r="33" spans="1:12" s="217" customFormat="1" thickBot="1" x14ac:dyDescent="0.3">
      <c r="J33" s="225" t="s">
        <v>58</v>
      </c>
      <c r="K33" s="235">
        <f>TotalEquipment8</f>
        <v>0</v>
      </c>
    </row>
    <row r="34" spans="1:12" s="217" customFormat="1" ht="15" x14ac:dyDescent="0.25">
      <c r="J34" s="226"/>
      <c r="K34" s="227"/>
    </row>
    <row r="35" spans="1:12" x14ac:dyDescent="0.25">
      <c r="A35" s="228" t="s">
        <v>299</v>
      </c>
      <c r="B35" s="228"/>
      <c r="C35" s="228"/>
      <c r="D35" s="228"/>
      <c r="E35" s="228"/>
      <c r="F35" s="228"/>
      <c r="G35" s="228"/>
      <c r="H35" s="228"/>
      <c r="I35" s="228"/>
      <c r="J35" s="229"/>
      <c r="K35" s="249" t="s">
        <v>346</v>
      </c>
      <c r="L35" s="221"/>
    </row>
    <row r="36" spans="1:12" s="217" customFormat="1" ht="15" x14ac:dyDescent="0.25">
      <c r="A36" s="594" t="s">
        <v>351</v>
      </c>
      <c r="B36" s="595"/>
      <c r="C36" s="595"/>
      <c r="D36" s="595"/>
      <c r="E36" s="595"/>
      <c r="F36" s="595"/>
      <c r="G36" s="595"/>
      <c r="H36" s="595"/>
      <c r="I36" s="595"/>
      <c r="J36" s="596"/>
      <c r="K36" s="238">
        <f>Budget!T39</f>
        <v>0</v>
      </c>
    </row>
    <row r="37" spans="1:12" s="217" customFormat="1" thickBot="1" x14ac:dyDescent="0.3">
      <c r="A37" s="594" t="s">
        <v>352</v>
      </c>
      <c r="B37" s="595"/>
      <c r="C37" s="595"/>
      <c r="D37" s="595"/>
      <c r="E37" s="595"/>
      <c r="F37" s="595"/>
      <c r="G37" s="595"/>
      <c r="H37" s="595"/>
      <c r="I37" s="595"/>
      <c r="J37" s="596"/>
      <c r="K37" s="238">
        <f>Budget!T44</f>
        <v>0</v>
      </c>
    </row>
    <row r="38" spans="1:12" s="217" customFormat="1" thickBot="1" x14ac:dyDescent="0.3">
      <c r="C38" s="597"/>
      <c r="D38" s="597"/>
      <c r="J38" s="248" t="s">
        <v>353</v>
      </c>
      <c r="K38" s="235">
        <f>SUM(K36:K37)</f>
        <v>0</v>
      </c>
    </row>
    <row r="39" spans="1:12" s="217" customFormat="1" ht="15" x14ac:dyDescent="0.25">
      <c r="K39" s="252"/>
    </row>
    <row r="40" spans="1:12" x14ac:dyDescent="0.25">
      <c r="A40" s="228" t="s">
        <v>300</v>
      </c>
      <c r="B40" s="228"/>
      <c r="C40" s="228"/>
      <c r="D40" s="228"/>
      <c r="E40" s="228"/>
      <c r="F40" s="228"/>
      <c r="G40" s="228"/>
      <c r="H40" s="228"/>
      <c r="I40" s="228"/>
      <c r="J40" s="229"/>
      <c r="K40" s="249" t="s">
        <v>346</v>
      </c>
      <c r="L40" s="221"/>
    </row>
    <row r="41" spans="1:12" s="217" customFormat="1" ht="15" x14ac:dyDescent="0.25">
      <c r="A41" s="592" t="s">
        <v>315</v>
      </c>
      <c r="B41" s="592"/>
      <c r="C41" s="592"/>
      <c r="D41" s="592"/>
      <c r="E41" s="592"/>
      <c r="F41" s="592"/>
      <c r="G41" s="592"/>
      <c r="H41" s="592"/>
      <c r="I41" s="592"/>
      <c r="J41" s="592"/>
      <c r="K41" s="247">
        <f>SUMIF(Budget!$A$2:$A$504,"PS Tuition/Fees/Health Insurance",Budget!$T$2:$T$504)</f>
        <v>0</v>
      </c>
    </row>
    <row r="42" spans="1:12" s="217" customFormat="1" ht="15" x14ac:dyDescent="0.25">
      <c r="A42" s="592" t="s">
        <v>316</v>
      </c>
      <c r="B42" s="592"/>
      <c r="C42" s="592"/>
      <c r="D42" s="592"/>
      <c r="E42" s="592"/>
      <c r="F42" s="592"/>
      <c r="G42" s="592"/>
      <c r="H42" s="592"/>
      <c r="I42" s="592"/>
      <c r="J42" s="592"/>
      <c r="K42" s="247">
        <f>SUMIF(Budget!$A$2:$A$504,"PS Stipends",Budget!$T$2:$T$504)</f>
        <v>0</v>
      </c>
    </row>
    <row r="43" spans="1:12" s="217" customFormat="1" ht="15" x14ac:dyDescent="0.25">
      <c r="A43" s="592" t="s">
        <v>317</v>
      </c>
      <c r="B43" s="592"/>
      <c r="C43" s="592"/>
      <c r="D43" s="592"/>
      <c r="E43" s="592"/>
      <c r="F43" s="592"/>
      <c r="G43" s="592"/>
      <c r="H43" s="592"/>
      <c r="I43" s="592"/>
      <c r="J43" s="592"/>
      <c r="K43" s="247">
        <f>SUMIF(Budget!$A$2:$A$504,"PS Travel",Budget!$T$2:$T$504)</f>
        <v>0</v>
      </c>
    </row>
    <row r="44" spans="1:12" s="217" customFormat="1" ht="15" x14ac:dyDescent="0.25">
      <c r="A44" s="592" t="s">
        <v>318</v>
      </c>
      <c r="B44" s="592"/>
      <c r="C44" s="592"/>
      <c r="D44" s="592"/>
      <c r="E44" s="592"/>
      <c r="F44" s="592"/>
      <c r="G44" s="592"/>
      <c r="H44" s="592"/>
      <c r="I44" s="592"/>
      <c r="J44" s="592"/>
      <c r="K44" s="247">
        <f>SUMIF(Budget!$A$2:$A$504,"PS Subsistence",Budget!$F$2:$T$504)</f>
        <v>0</v>
      </c>
    </row>
    <row r="45" spans="1:12" s="217" customFormat="1" thickBot="1" x14ac:dyDescent="0.3">
      <c r="A45" s="592" t="s">
        <v>319</v>
      </c>
      <c r="B45" s="599"/>
      <c r="C45" s="592"/>
      <c r="D45" s="592"/>
      <c r="E45" s="592"/>
      <c r="F45" s="592"/>
      <c r="G45" s="592"/>
      <c r="H45" s="592"/>
      <c r="I45" s="592"/>
      <c r="J45" s="592"/>
      <c r="K45" s="236">
        <f>SUMIF(Budget!$A$2:$A$504,"PS Other",Budget!$T$2:$T$504)</f>
        <v>0</v>
      </c>
    </row>
    <row r="46" spans="1:12" s="217" customFormat="1" thickBot="1" x14ac:dyDescent="0.3">
      <c r="A46" s="231" t="s">
        <v>354</v>
      </c>
      <c r="B46" s="244"/>
      <c r="C46" s="220"/>
      <c r="D46" s="220"/>
      <c r="H46" s="600" t="s">
        <v>355</v>
      </c>
      <c r="I46" s="600"/>
      <c r="J46" s="583"/>
      <c r="K46" s="235">
        <f>SUM(K41:K45)</f>
        <v>0</v>
      </c>
    </row>
    <row r="47" spans="1:12" s="217" customFormat="1" ht="15" customHeight="1" x14ac:dyDescent="0.25">
      <c r="C47" s="597"/>
      <c r="D47" s="597"/>
      <c r="K47" s="221"/>
    </row>
    <row r="48" spans="1:12" x14ac:dyDescent="0.25">
      <c r="A48" s="126" t="s">
        <v>301</v>
      </c>
      <c r="K48" s="230" t="s">
        <v>346</v>
      </c>
    </row>
    <row r="49" spans="1:12" s="217" customFormat="1" ht="15" x14ac:dyDescent="0.25">
      <c r="A49" s="601" t="s">
        <v>120</v>
      </c>
      <c r="B49" s="601"/>
      <c r="C49" s="601"/>
      <c r="D49" s="601"/>
      <c r="E49" s="601"/>
      <c r="F49" s="601"/>
      <c r="G49" s="601"/>
      <c r="H49" s="601"/>
      <c r="I49" s="601"/>
      <c r="J49" s="601"/>
      <c r="K49" s="247">
        <f>SUMIF(Budget!$A$2:$A$504,"Materials &amp; Supplies",Budget!$T$2:$T$504)</f>
        <v>0</v>
      </c>
    </row>
    <row r="50" spans="1:12" s="217" customFormat="1" ht="15" x14ac:dyDescent="0.25">
      <c r="A50" s="601" t="s">
        <v>322</v>
      </c>
      <c r="B50" s="601"/>
      <c r="C50" s="601"/>
      <c r="D50" s="601"/>
      <c r="E50" s="601"/>
      <c r="F50" s="601"/>
      <c r="G50" s="601"/>
      <c r="H50" s="601"/>
      <c r="I50" s="601"/>
      <c r="J50" s="601"/>
      <c r="K50" s="247">
        <f>SUMIF(Budget!$A$2:$A$504,"Publication Costs/Page Charges",Budget!$T$2:$T$504)</f>
        <v>0</v>
      </c>
    </row>
    <row r="51" spans="1:12" s="217" customFormat="1" ht="15" x14ac:dyDescent="0.25">
      <c r="A51" s="601" t="s">
        <v>122</v>
      </c>
      <c r="B51" s="601"/>
      <c r="C51" s="601"/>
      <c r="D51" s="601"/>
      <c r="E51" s="601"/>
      <c r="F51" s="601"/>
      <c r="G51" s="601"/>
      <c r="H51" s="601"/>
      <c r="I51" s="601"/>
      <c r="J51" s="601"/>
      <c r="K51" s="247">
        <f>SUMIF(Budget!$A$2:$A$504,"Consultant Services",Budget!$T$2:$T$504)</f>
        <v>0</v>
      </c>
    </row>
    <row r="52" spans="1:12" s="217" customFormat="1" ht="15" x14ac:dyDescent="0.25">
      <c r="A52" s="601" t="s">
        <v>323</v>
      </c>
      <c r="B52" s="601"/>
      <c r="C52" s="601"/>
      <c r="D52" s="601"/>
      <c r="E52" s="601"/>
      <c r="F52" s="601"/>
      <c r="G52" s="601"/>
      <c r="H52" s="601"/>
      <c r="I52" s="601"/>
      <c r="J52" s="601"/>
      <c r="K52" s="247">
        <f>SUMIF(Budget!$A$2:$A$504,"Computer (ADPE) Services",Budget!$T$2:$T$504)</f>
        <v>0</v>
      </c>
    </row>
    <row r="53" spans="1:12" s="217" customFormat="1" ht="15" x14ac:dyDescent="0.25">
      <c r="A53" s="601" t="s">
        <v>360</v>
      </c>
      <c r="B53" s="601"/>
      <c r="C53" s="601"/>
      <c r="D53" s="601"/>
      <c r="E53" s="601"/>
      <c r="F53" s="601"/>
      <c r="G53" s="601"/>
      <c r="H53" s="601"/>
      <c r="I53" s="601"/>
      <c r="J53" s="601"/>
      <c r="K53" s="247">
        <f ca="1">TotalSubs8+TotalMulti8+SUMIF(Budget!$A$2:$A$504,"Vendor Contract",Budget!$T$2:$T$504)+SUMIF(Budget!$A$2:$A$504,"Service Agreement",Budget!$T$2:$T$504)</f>
        <v>0</v>
      </c>
    </row>
    <row r="54" spans="1:12" s="217" customFormat="1" x14ac:dyDescent="0.25">
      <c r="A54" s="601" t="s">
        <v>325</v>
      </c>
      <c r="B54" s="601"/>
      <c r="C54" s="601"/>
      <c r="D54" s="601"/>
      <c r="E54" s="601"/>
      <c r="F54" s="601"/>
      <c r="G54" s="601"/>
      <c r="H54" s="601"/>
      <c r="I54" s="601"/>
      <c r="J54" s="601"/>
      <c r="K54" s="242">
        <f>SUMIF(Budget!$A$2:$A$504,"Other Rentals",Budget!$T$2:$T$504)+SUMIF(Budget!$A$2:$A$504,"Space Rentals",Budget!$T$2:$T$504)+SUMIF(Budget!$A$2:$A$504,"Equipment or Facility Rental/User Fees",Budget!$T$2:$T$504)</f>
        <v>0</v>
      </c>
    </row>
    <row r="55" spans="1:12" s="217" customFormat="1" ht="15" x14ac:dyDescent="0.25">
      <c r="A55" s="601" t="s">
        <v>326</v>
      </c>
      <c r="B55" s="601"/>
      <c r="C55" s="601"/>
      <c r="D55" s="601"/>
      <c r="E55" s="601"/>
      <c r="F55" s="601"/>
      <c r="G55" s="601"/>
      <c r="H55" s="601"/>
      <c r="I55" s="601"/>
      <c r="J55" s="601"/>
      <c r="K55" s="247">
        <f>SUMIF(Budget!$A$2:$A$504,"Alterations and Renovations",Budget!$T$2:$T$504)</f>
        <v>0</v>
      </c>
    </row>
    <row r="56" spans="1:12" s="217" customFormat="1" ht="15" x14ac:dyDescent="0.25">
      <c r="A56" s="598" t="s">
        <v>379</v>
      </c>
      <c r="B56" s="598"/>
      <c r="C56" s="598"/>
      <c r="D56" s="598"/>
      <c r="E56" s="598"/>
      <c r="F56" s="598"/>
      <c r="G56" s="598"/>
      <c r="H56" s="598"/>
      <c r="I56" s="598"/>
      <c r="J56" s="598"/>
      <c r="K56" s="247">
        <f>TotalGSR8</f>
        <v>0</v>
      </c>
    </row>
    <row r="57" spans="1:12" s="217" customFormat="1" ht="15" x14ac:dyDescent="0.25">
      <c r="A57" s="598" t="s">
        <v>380</v>
      </c>
      <c r="B57" s="598"/>
      <c r="C57" s="598"/>
      <c r="D57" s="598"/>
      <c r="E57" s="598"/>
      <c r="F57" s="598"/>
      <c r="G57" s="598"/>
      <c r="H57" s="598"/>
      <c r="I57" s="598"/>
      <c r="J57" s="598"/>
      <c r="K57" s="247">
        <f>SUMIF(Budget!$A$2:$A$504,"Other",Budget!$T$2:$T$504)+SUMIF(Budget!$A$2:$A$504,"Other Maintenance Fees",Budget!$T$2:$T$504)</f>
        <v>0</v>
      </c>
    </row>
    <row r="58" spans="1:12" s="217" customFormat="1" thickBot="1" x14ac:dyDescent="0.3">
      <c r="A58" s="602" t="s">
        <v>383</v>
      </c>
      <c r="B58" s="602"/>
      <c r="C58" s="602"/>
      <c r="D58" s="602"/>
      <c r="E58" s="602"/>
      <c r="F58" s="602"/>
      <c r="G58" s="602"/>
      <c r="H58" s="602"/>
      <c r="I58" s="602"/>
      <c r="J58" s="602"/>
      <c r="K58" s="236">
        <v>0</v>
      </c>
    </row>
    <row r="59" spans="1:12" s="217" customFormat="1" ht="15" customHeight="1" thickBot="1" x14ac:dyDescent="0.3">
      <c r="I59" s="600" t="s">
        <v>21</v>
      </c>
      <c r="J59" s="583"/>
      <c r="K59" s="235">
        <f ca="1">SUM(K49:K58)</f>
        <v>0</v>
      </c>
    </row>
    <row r="60" spans="1:12" s="217" customFormat="1" ht="15" x14ac:dyDescent="0.25">
      <c r="K60" s="252"/>
    </row>
    <row r="61" spans="1:12" ht="16.5" thickBot="1" x14ac:dyDescent="0.3">
      <c r="A61" s="126" t="s">
        <v>302</v>
      </c>
      <c r="K61" s="230" t="s">
        <v>346</v>
      </c>
      <c r="L61" s="221"/>
    </row>
    <row r="62" spans="1:12" s="217" customFormat="1" ht="15" customHeight="1" thickBot="1" x14ac:dyDescent="0.3">
      <c r="A62" s="583" t="s">
        <v>359</v>
      </c>
      <c r="B62" s="584"/>
      <c r="C62" s="584"/>
      <c r="D62" s="584"/>
      <c r="E62" s="584"/>
      <c r="F62" s="584"/>
      <c r="G62" s="584"/>
      <c r="H62" s="584"/>
      <c r="I62" s="584"/>
      <c r="J62" s="584"/>
      <c r="K62" s="235">
        <f ca="1">K25+K33+K38+K46+K59</f>
        <v>0</v>
      </c>
    </row>
    <row r="63" spans="1:12" s="217" customFormat="1" ht="15" x14ac:dyDescent="0.25">
      <c r="K63" s="252"/>
    </row>
    <row r="64" spans="1:12" x14ac:dyDescent="0.25">
      <c r="A64" s="126" t="s">
        <v>303</v>
      </c>
    </row>
    <row r="65" spans="1:11" s="217" customFormat="1" ht="15" x14ac:dyDescent="0.25">
      <c r="A65" s="587" t="s">
        <v>357</v>
      </c>
      <c r="B65" s="587"/>
      <c r="C65" s="587"/>
      <c r="D65" s="587"/>
      <c r="E65" s="587"/>
      <c r="F65" s="587" t="s">
        <v>358</v>
      </c>
      <c r="G65" s="587"/>
      <c r="H65" s="587"/>
      <c r="I65" s="587"/>
      <c r="J65" s="587"/>
      <c r="K65" s="249" t="s">
        <v>346</v>
      </c>
    </row>
    <row r="66" spans="1:11" s="217" customFormat="1" ht="15" x14ac:dyDescent="0.25">
      <c r="A66" s="603" t="str">
        <f>Budget!T105</f>
        <v xml:space="preserve"> </v>
      </c>
      <c r="B66" s="603"/>
      <c r="C66" s="603"/>
      <c r="D66" s="603"/>
      <c r="E66" s="603"/>
      <c r="F66" s="588">
        <f ca="1">Budget!T101</f>
        <v>0</v>
      </c>
      <c r="G66" s="588"/>
      <c r="H66" s="588"/>
      <c r="I66" s="588"/>
      <c r="J66" s="588"/>
      <c r="K66" s="247" t="e">
        <f ca="1">ROUND((A66*F66),0)</f>
        <v>#VALUE!</v>
      </c>
    </row>
    <row r="67" spans="1:11" s="217" customFormat="1" ht="15" x14ac:dyDescent="0.25">
      <c r="A67" s="577"/>
      <c r="B67" s="577"/>
      <c r="C67" s="577"/>
      <c r="D67" s="577"/>
      <c r="E67" s="577"/>
      <c r="F67" s="578"/>
      <c r="G67" s="578"/>
      <c r="H67" s="578"/>
      <c r="I67" s="578"/>
      <c r="J67" s="578"/>
      <c r="K67" s="253">
        <f t="shared" ref="K67:K69" si="6">ROUND((A67*F67),0)</f>
        <v>0</v>
      </c>
    </row>
    <row r="68" spans="1:11" s="217" customFormat="1" ht="15" x14ac:dyDescent="0.25">
      <c r="A68" s="577"/>
      <c r="B68" s="577"/>
      <c r="C68" s="577"/>
      <c r="D68" s="577"/>
      <c r="E68" s="577"/>
      <c r="F68" s="578"/>
      <c r="G68" s="578"/>
      <c r="H68" s="578"/>
      <c r="I68" s="578"/>
      <c r="J68" s="578"/>
      <c r="K68" s="253">
        <f t="shared" si="6"/>
        <v>0</v>
      </c>
    </row>
    <row r="69" spans="1:11" s="217" customFormat="1" thickBot="1" x14ac:dyDescent="0.3">
      <c r="A69" s="577"/>
      <c r="B69" s="577"/>
      <c r="C69" s="577"/>
      <c r="D69" s="577"/>
      <c r="E69" s="577"/>
      <c r="F69" s="578"/>
      <c r="G69" s="578"/>
      <c r="H69" s="578"/>
      <c r="I69" s="578"/>
      <c r="J69" s="578"/>
      <c r="K69" s="253">
        <f t="shared" si="6"/>
        <v>0</v>
      </c>
    </row>
    <row r="70" spans="1:11" s="217" customFormat="1" thickBot="1" x14ac:dyDescent="0.3">
      <c r="I70" s="583" t="s">
        <v>27</v>
      </c>
      <c r="J70" s="584"/>
      <c r="K70" s="235" t="e">
        <f ca="1">SUM(K66:K69)</f>
        <v>#VALUE!</v>
      </c>
    </row>
    <row r="71" spans="1:11" s="217" customFormat="1" ht="15" x14ac:dyDescent="0.25">
      <c r="K71" s="252"/>
    </row>
    <row r="72" spans="1:11" ht="16.5" thickBot="1" x14ac:dyDescent="0.3">
      <c r="A72" s="126" t="s">
        <v>304</v>
      </c>
      <c r="K72" s="232" t="s">
        <v>346</v>
      </c>
    </row>
    <row r="73" spans="1:11" s="217" customFormat="1" thickBot="1" x14ac:dyDescent="0.3">
      <c r="A73" s="583" t="s">
        <v>356</v>
      </c>
      <c r="B73" s="584"/>
      <c r="C73" s="584"/>
      <c r="D73" s="584"/>
      <c r="E73" s="584"/>
      <c r="F73" s="584"/>
      <c r="G73" s="584"/>
      <c r="H73" s="584"/>
      <c r="I73" s="584"/>
      <c r="J73" s="584"/>
      <c r="K73" s="235" t="e">
        <f ca="1">K62+K70</f>
        <v>#VALUE!</v>
      </c>
    </row>
    <row r="74" spans="1:11" s="217" customFormat="1" ht="15" x14ac:dyDescent="0.25">
      <c r="K74" s="252"/>
    </row>
    <row r="75" spans="1:11" ht="16.5" thickBot="1" x14ac:dyDescent="0.3">
      <c r="A75" s="126" t="s">
        <v>305</v>
      </c>
      <c r="K75" s="230" t="s">
        <v>346</v>
      </c>
    </row>
    <row r="76" spans="1:11" s="217" customFormat="1" thickBot="1" x14ac:dyDescent="0.3">
      <c r="A76" s="604"/>
      <c r="B76" s="605"/>
      <c r="C76" s="605"/>
      <c r="D76" s="605"/>
      <c r="E76" s="605"/>
      <c r="F76" s="605"/>
      <c r="G76" s="605"/>
      <c r="H76" s="605"/>
      <c r="I76" s="605"/>
      <c r="J76" s="605"/>
      <c r="K76" s="245"/>
    </row>
    <row r="78" spans="1:11" ht="16.5" thickBot="1" x14ac:dyDescent="0.3"/>
    <row r="79" spans="1:11" x14ac:dyDescent="0.25">
      <c r="A79" s="254" t="s">
        <v>364</v>
      </c>
      <c r="B79" s="255"/>
      <c r="C79" s="255"/>
      <c r="D79" s="255"/>
      <c r="E79" s="255"/>
      <c r="F79" s="255"/>
      <c r="G79" s="255"/>
      <c r="H79" s="255"/>
      <c r="I79" s="255"/>
      <c r="J79" s="255"/>
      <c r="K79" s="256"/>
    </row>
    <row r="80" spans="1:11" x14ac:dyDescent="0.25">
      <c r="A80" s="257" t="s">
        <v>369</v>
      </c>
      <c r="B80" s="258"/>
      <c r="C80" s="258"/>
      <c r="D80" s="258"/>
      <c r="E80" s="258"/>
      <c r="F80" s="258"/>
      <c r="G80" s="258"/>
      <c r="H80" s="258"/>
      <c r="I80" s="258"/>
      <c r="J80" s="258"/>
      <c r="K80" s="259"/>
    </row>
    <row r="81" spans="1:11" x14ac:dyDescent="0.25">
      <c r="A81" s="257" t="s">
        <v>368</v>
      </c>
      <c r="B81" s="258"/>
      <c r="C81" s="258"/>
      <c r="D81" s="258"/>
      <c r="E81" s="258"/>
      <c r="F81" s="258"/>
      <c r="G81" s="258"/>
      <c r="H81" s="258"/>
      <c r="I81" s="258"/>
      <c r="J81" s="258"/>
      <c r="K81" s="259"/>
    </row>
    <row r="82" spans="1:11" x14ac:dyDescent="0.25">
      <c r="A82" s="257" t="s">
        <v>385</v>
      </c>
      <c r="B82" s="258"/>
      <c r="C82" s="258"/>
      <c r="D82" s="258"/>
      <c r="E82" s="258"/>
      <c r="F82" s="258"/>
      <c r="G82" s="258"/>
      <c r="H82" s="258"/>
      <c r="I82" s="258"/>
      <c r="J82" s="258"/>
      <c r="K82" s="259"/>
    </row>
    <row r="83" spans="1:11" ht="16.5" thickBot="1" x14ac:dyDescent="0.3">
      <c r="A83" s="260" t="s">
        <v>378</v>
      </c>
      <c r="B83" s="261"/>
      <c r="C83" s="261"/>
      <c r="D83" s="261"/>
      <c r="E83" s="261"/>
      <c r="F83" s="261"/>
      <c r="G83" s="261"/>
      <c r="H83" s="261"/>
      <c r="I83" s="261"/>
      <c r="J83" s="261"/>
      <c r="K83" s="262"/>
    </row>
  </sheetData>
  <sheetProtection algorithmName="SHA-512" hashValue="J5ajMN/AaglmVv74OIddREUSbPqAJI8An9t1W1WZQOZBRVlp6l5JThnCJC1LRFI+WQU9bGM96I/NX3L+8gUNiQ==" saltValue="p3K9ycUqeA8vKnsYZQEZjw==" spinCount="100000" sheet="1" objects="1" scenarios="1" selectLockedCells="1"/>
  <mergeCells count="79">
    <mergeCell ref="A69:E69"/>
    <mergeCell ref="F69:J69"/>
    <mergeCell ref="I70:J70"/>
    <mergeCell ref="A73:J73"/>
    <mergeCell ref="A76:J76"/>
    <mergeCell ref="A66:E66"/>
    <mergeCell ref="F66:J66"/>
    <mergeCell ref="A67:E67"/>
    <mergeCell ref="F67:J67"/>
    <mergeCell ref="A68:E68"/>
    <mergeCell ref="F68:J68"/>
    <mergeCell ref="A57:J57"/>
    <mergeCell ref="A58:J58"/>
    <mergeCell ref="I59:J59"/>
    <mergeCell ref="A62:J62"/>
    <mergeCell ref="A65:E65"/>
    <mergeCell ref="F65:J65"/>
    <mergeCell ref="A56:J56"/>
    <mergeCell ref="A44:J44"/>
    <mergeCell ref="A45:J45"/>
    <mergeCell ref="H46:J46"/>
    <mergeCell ref="C47:D47"/>
    <mergeCell ref="A49:J49"/>
    <mergeCell ref="A50:J50"/>
    <mergeCell ref="A51:J51"/>
    <mergeCell ref="A52:J52"/>
    <mergeCell ref="A53:J53"/>
    <mergeCell ref="A54:J54"/>
    <mergeCell ref="A55:J55"/>
    <mergeCell ref="A43:J43"/>
    <mergeCell ref="A27:J27"/>
    <mergeCell ref="A28:J28"/>
    <mergeCell ref="A29:J29"/>
    <mergeCell ref="A30:J30"/>
    <mergeCell ref="A31:J31"/>
    <mergeCell ref="A32:J32"/>
    <mergeCell ref="A36:J36"/>
    <mergeCell ref="A37:J37"/>
    <mergeCell ref="C38:D38"/>
    <mergeCell ref="A41:J41"/>
    <mergeCell ref="A42:J42"/>
    <mergeCell ref="H25:J25"/>
    <mergeCell ref="B21:C21"/>
    <mergeCell ref="G21:H21"/>
    <mergeCell ref="I21:J21"/>
    <mergeCell ref="B22:C22"/>
    <mergeCell ref="G22:H22"/>
    <mergeCell ref="I22:J22"/>
    <mergeCell ref="B23:C23"/>
    <mergeCell ref="G23:H23"/>
    <mergeCell ref="I23:J23"/>
    <mergeCell ref="B24:D24"/>
    <mergeCell ref="H24:J24"/>
    <mergeCell ref="B19:C19"/>
    <mergeCell ref="G19:H19"/>
    <mergeCell ref="I19:J19"/>
    <mergeCell ref="B20:C20"/>
    <mergeCell ref="G20:H20"/>
    <mergeCell ref="I20:J20"/>
    <mergeCell ref="B17:C17"/>
    <mergeCell ref="G17:H17"/>
    <mergeCell ref="I17:J17"/>
    <mergeCell ref="B18:C18"/>
    <mergeCell ref="G18:H18"/>
    <mergeCell ref="I18:J18"/>
    <mergeCell ref="B15:C15"/>
    <mergeCell ref="G15:H15"/>
    <mergeCell ref="I15:J15"/>
    <mergeCell ref="B16:C16"/>
    <mergeCell ref="G16:H16"/>
    <mergeCell ref="I16:J16"/>
    <mergeCell ref="B14:C14"/>
    <mergeCell ref="G14:H14"/>
    <mergeCell ref="I14:J14"/>
    <mergeCell ref="F10:H10"/>
    <mergeCell ref="I11:J11"/>
    <mergeCell ref="B13:C13"/>
    <mergeCell ref="G13:H13"/>
    <mergeCell ref="I13:J13"/>
  </mergeCells>
  <pageMargins left="0.75" right="0.75" top="1" bottom="1" header="0.5" footer="0.5"/>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L83"/>
  <sheetViews>
    <sheetView workbookViewId="0">
      <selection activeCell="A15" sqref="A15"/>
    </sheetView>
  </sheetViews>
  <sheetFormatPr defaultColWidth="11" defaultRowHeight="15.75" x14ac:dyDescent="0.25"/>
  <cols>
    <col min="1" max="1" width="30.875" customWidth="1"/>
    <col min="2" max="8" width="10.875" customWidth="1"/>
    <col min="9" max="9" width="14.875" customWidth="1"/>
    <col min="10" max="10" width="15" customWidth="1"/>
    <col min="11" max="11" width="14.875" style="246" customWidth="1"/>
  </cols>
  <sheetData>
    <row r="1" spans="1:11" x14ac:dyDescent="0.25">
      <c r="A1" s="126" t="s">
        <v>387</v>
      </c>
    </row>
    <row r="3" spans="1:11" x14ac:dyDescent="0.25">
      <c r="A3" s="126" t="s">
        <v>297</v>
      </c>
    </row>
    <row r="4" spans="1:11" s="221" customFormat="1" ht="15" x14ac:dyDescent="0.25">
      <c r="A4" s="250" t="s">
        <v>11</v>
      </c>
      <c r="B4" s="249" t="s">
        <v>363</v>
      </c>
      <c r="C4" s="249" t="s">
        <v>332</v>
      </c>
      <c r="D4" s="249" t="s">
        <v>333</v>
      </c>
      <c r="E4" s="249" t="s">
        <v>334</v>
      </c>
      <c r="F4" s="249" t="s">
        <v>335</v>
      </c>
      <c r="G4" s="249" t="s">
        <v>336</v>
      </c>
      <c r="H4" s="249" t="s">
        <v>337</v>
      </c>
      <c r="I4" s="249" t="s">
        <v>338</v>
      </c>
      <c r="J4" s="249" t="s">
        <v>339</v>
      </c>
      <c r="K4" s="249" t="s">
        <v>340</v>
      </c>
    </row>
    <row r="5" spans="1:11" s="217" customFormat="1" ht="15" x14ac:dyDescent="0.25">
      <c r="A5" s="222" t="str">
        <f>IF(B5&gt;0,(INDEX('Salary &amp; Fringe'!$A$1:$A$300,MATCH("Senior Person 1",'Salary &amp; Fringe'!$E$1:$E$300,FALSE),1)),"")</f>
        <v/>
      </c>
      <c r="B5" s="247">
        <f>IFERROR(IF(F5&gt;0, C5, D5+E5),0)</f>
        <v>0</v>
      </c>
      <c r="C5" s="247">
        <f>IFERROR(IF(F5&gt;0, (I5/SUM(F5:H5)*12),0),0)</f>
        <v>0</v>
      </c>
      <c r="D5" s="247">
        <f>IFERROR(IF($C5=0, (I5/SUM(F5:H5)*9),0),0)</f>
        <v>0</v>
      </c>
      <c r="E5" s="247">
        <f>IFERROR(IF($C5=0, (I5/SUM(F5:H5)*3),0),0)</f>
        <v>0</v>
      </c>
      <c r="F5" s="251">
        <f>SUMIFS('Salary &amp; Fringe'!$U$1:'Salary &amp; Fringe'!$U$300,'Salary &amp; Fringe'!$E$1:'Salary &amp; Fringe'!$E$300,"Senior Person 1",'Salary &amp; Fringe'!$F$1:'Salary &amp; Fringe'!$F$300,"Calendar*")</f>
        <v>0</v>
      </c>
      <c r="G5" s="251">
        <f>SUMIFS('Salary &amp; Fringe'!$U$1:'Salary &amp; Fringe'!$U$300,'Salary &amp; Fringe'!$E$1:'Salary &amp; Fringe'!$E$300,"Senior Person 1",'Salary &amp; Fringe'!$F$1:'Salary &amp; Fringe'!$F$300,"Academic")</f>
        <v>0</v>
      </c>
      <c r="H5" s="251">
        <f>SUMIFS('Salary &amp; Fringe'!$U$1:'Salary &amp; Fringe'!$U$300,'Salary &amp; Fringe'!$E$1:'Salary &amp; Fringe'!$E$300,"Senior Person 1",'Salary &amp; Fringe'!$F$1:'Salary &amp; Fringe'!$F$300,"Summer")</f>
        <v>0</v>
      </c>
      <c r="I5" s="247">
        <f>SUMIF('Salary &amp; Fringe'!$E$1:$E$300,"Senior Person 1",'Salary &amp; Fringe'!$AE$1:$AE$300)</f>
        <v>0</v>
      </c>
      <c r="J5" s="247">
        <f>SUMIF('Salary &amp; Fringe'!$E$1:$E$300,"Senior Person 1",'Salary &amp; Fringe'!$AO$1:$AO$300)</f>
        <v>0</v>
      </c>
      <c r="K5" s="247">
        <f>I5+J5</f>
        <v>0</v>
      </c>
    </row>
    <row r="6" spans="1:11" s="217" customFormat="1" ht="15" x14ac:dyDescent="0.25">
      <c r="A6" s="222" t="str">
        <f>IF(B6&gt;0,(INDEX('Salary &amp; Fringe'!$A$1:$A$300,MATCH("Senior Person 2",'Salary &amp; Fringe'!$E$1:$E$300,FALSE),1)),"")</f>
        <v/>
      </c>
      <c r="B6" s="247">
        <f t="shared" ref="B6:B9" si="0">IFERROR(IF(F6&gt;0, C6, D6+E6),0)</f>
        <v>0</v>
      </c>
      <c r="C6" s="247">
        <f t="shared" ref="C6:C9" si="1">IFERROR(IF(F6&gt;0, (I6/SUM(F6:H6)*12),0),0)</f>
        <v>0</v>
      </c>
      <c r="D6" s="247">
        <f t="shared" ref="D6:D9" si="2">IFERROR(IF($C6=0, (I6/SUM(F6:H6)*9),0),0)</f>
        <v>0</v>
      </c>
      <c r="E6" s="247">
        <f t="shared" ref="E6:E9" si="3">IFERROR(IF($C6=0, (I6/SUM(F6:H6)*3),0),0)</f>
        <v>0</v>
      </c>
      <c r="F6" s="251">
        <f>SUMIFS('Salary &amp; Fringe'!$U$1:'Salary &amp; Fringe'!$U$300,'Salary &amp; Fringe'!$E$1:'Salary &amp; Fringe'!$E$300,"Senior Person 2",'Salary &amp; Fringe'!$F$1:'Salary &amp; Fringe'!$F$300,"Calendar*")</f>
        <v>0</v>
      </c>
      <c r="G6" s="251">
        <f>SUMIFS('Salary &amp; Fringe'!$U$1:'Salary &amp; Fringe'!$U$300,'Salary &amp; Fringe'!$E$1:'Salary &amp; Fringe'!$E$300,"Senior Person 2",'Salary &amp; Fringe'!$F$1:'Salary &amp; Fringe'!$F$300,"Academic")</f>
        <v>0</v>
      </c>
      <c r="H6" s="251">
        <f>SUMIFS('Salary &amp; Fringe'!$U$1:'Salary &amp; Fringe'!$U$300,'Salary &amp; Fringe'!$E$1:'Salary &amp; Fringe'!$E$300,"Senior Person 2",'Salary &amp; Fringe'!$F$1:'Salary &amp; Fringe'!$F$300,"Summer")</f>
        <v>0</v>
      </c>
      <c r="I6" s="247">
        <f>SUMIF('Salary &amp; Fringe'!$E$1:$E$300,"Senior Person 2",'Salary &amp; Fringe'!$AE$1:$AE$300)</f>
        <v>0</v>
      </c>
      <c r="J6" s="247">
        <f>SUMIF('Salary &amp; Fringe'!$E$1:$E$300,"Senior Person 2",'Salary &amp; Fringe'!$AO$1:$AO$300)</f>
        <v>0</v>
      </c>
      <c r="K6" s="247">
        <f t="shared" ref="K6:K10" si="4">I6+J6</f>
        <v>0</v>
      </c>
    </row>
    <row r="7" spans="1:11" s="217" customFormat="1" ht="15" x14ac:dyDescent="0.25">
      <c r="A7" s="222" t="str">
        <f>IF(B7&gt;0,(INDEX('Salary &amp; Fringe'!$A$1:$A$300,MATCH("Senior Person 3",'Salary &amp; Fringe'!$E$1:$E$300,FALSE),1)),"")</f>
        <v/>
      </c>
      <c r="B7" s="247">
        <f t="shared" si="0"/>
        <v>0</v>
      </c>
      <c r="C7" s="247">
        <f t="shared" si="1"/>
        <v>0</v>
      </c>
      <c r="D7" s="247">
        <f t="shared" si="2"/>
        <v>0</v>
      </c>
      <c r="E7" s="247">
        <f t="shared" si="3"/>
        <v>0</v>
      </c>
      <c r="F7" s="251">
        <f>SUMIFS('Salary &amp; Fringe'!$U$1:'Salary &amp; Fringe'!$U$300,'Salary &amp; Fringe'!$E$1:'Salary &amp; Fringe'!$E$300,"Senior Person 3",'Salary &amp; Fringe'!$F$1:'Salary &amp; Fringe'!$F$300,"Calendar*")</f>
        <v>0</v>
      </c>
      <c r="G7" s="251">
        <f>SUMIFS('Salary &amp; Fringe'!$U$1:'Salary &amp; Fringe'!$U$300,'Salary &amp; Fringe'!$E$1:'Salary &amp; Fringe'!$E$300,"Senior Person 3",'Salary &amp; Fringe'!$F$1:'Salary &amp; Fringe'!$F$300,"Academic")</f>
        <v>0</v>
      </c>
      <c r="H7" s="251">
        <f>SUMIFS('Salary &amp; Fringe'!$U$1:'Salary &amp; Fringe'!$U$300,'Salary &amp; Fringe'!$E$1:'Salary &amp; Fringe'!$E$300,"Senior Person 3",'Salary &amp; Fringe'!$F$1:'Salary &amp; Fringe'!$F$300,"Summer")</f>
        <v>0</v>
      </c>
      <c r="I7" s="247">
        <f>SUMIF('Salary &amp; Fringe'!$E$1:$E$300,"Senior Person 3",'Salary &amp; Fringe'!$AE$1:$AE$300)</f>
        <v>0</v>
      </c>
      <c r="J7" s="247">
        <f>SUMIF('Salary &amp; Fringe'!$E$1:$E$300,"Senior Person 3",'Salary &amp; Fringe'!$AO$1:$AO$300)</f>
        <v>0</v>
      </c>
      <c r="K7" s="247">
        <f t="shared" si="4"/>
        <v>0</v>
      </c>
    </row>
    <row r="8" spans="1:11" s="217" customFormat="1" ht="15" x14ac:dyDescent="0.25">
      <c r="A8" s="222" t="str">
        <f>IF(B8&gt;0,(INDEX('Salary &amp; Fringe'!$A$1:$A$300,MATCH("Senior Person 4",'Salary &amp; Fringe'!$E$1:$E$300,FALSE),1)),"")</f>
        <v/>
      </c>
      <c r="B8" s="247">
        <f t="shared" si="0"/>
        <v>0</v>
      </c>
      <c r="C8" s="247">
        <f t="shared" si="1"/>
        <v>0</v>
      </c>
      <c r="D8" s="247">
        <f t="shared" si="2"/>
        <v>0</v>
      </c>
      <c r="E8" s="247">
        <f t="shared" si="3"/>
        <v>0</v>
      </c>
      <c r="F8" s="251">
        <f>SUMIFS('Salary &amp; Fringe'!$U$1:'Salary &amp; Fringe'!$U$300,'Salary &amp; Fringe'!$E$1:'Salary &amp; Fringe'!$E$300,"Senior Person 4",'Salary &amp; Fringe'!$F$1:'Salary &amp; Fringe'!$F$300,"Calendar*")</f>
        <v>0</v>
      </c>
      <c r="G8" s="251">
        <f>SUMIFS('Salary &amp; Fringe'!$U$1:'Salary &amp; Fringe'!$U$300,'Salary &amp; Fringe'!$E$1:'Salary &amp; Fringe'!$E$300,"Senior Person 4",'Salary &amp; Fringe'!$F$1:'Salary &amp; Fringe'!$F$300,"Academic")</f>
        <v>0</v>
      </c>
      <c r="H8" s="251">
        <f>SUMIFS('Salary &amp; Fringe'!$U$1:'Salary &amp; Fringe'!$U$300,'Salary &amp; Fringe'!$E$1:'Salary &amp; Fringe'!$E$300,"Senior Person 4",'Salary &amp; Fringe'!$F$1:'Salary &amp; Fringe'!$F$300,"Summer")</f>
        <v>0</v>
      </c>
      <c r="I8" s="247">
        <f>SUMIF('Salary &amp; Fringe'!$E$1:$E$300,"Senior Person 4",'Salary &amp; Fringe'!$AE$1:$AE$300)</f>
        <v>0</v>
      </c>
      <c r="J8" s="247">
        <f>SUMIF('Salary &amp; Fringe'!$E$1:$E$300,"Senior Person 4",'Salary &amp; Fringe'!$AO$1:$AO$300)</f>
        <v>0</v>
      </c>
      <c r="K8" s="247">
        <f t="shared" si="4"/>
        <v>0</v>
      </c>
    </row>
    <row r="9" spans="1:11" s="217" customFormat="1" ht="15" x14ac:dyDescent="0.25">
      <c r="A9" s="222" t="str">
        <f>IF(B9&gt;0,(INDEX('Salary &amp; Fringe'!$A$1:$A$300,MATCH("Senior Person 5",'Salary &amp; Fringe'!$E$1:$E$300,FALSE),1)),"")</f>
        <v/>
      </c>
      <c r="B9" s="247">
        <f t="shared" si="0"/>
        <v>0</v>
      </c>
      <c r="C9" s="247">
        <f t="shared" si="1"/>
        <v>0</v>
      </c>
      <c r="D9" s="247">
        <f t="shared" si="2"/>
        <v>0</v>
      </c>
      <c r="E9" s="247">
        <f t="shared" si="3"/>
        <v>0</v>
      </c>
      <c r="F9" s="251">
        <f>SUMIFS('Salary &amp; Fringe'!$U$1:'Salary &amp; Fringe'!$U$300,'Salary &amp; Fringe'!$E$1:'Salary &amp; Fringe'!$E$300,"Senior Person 5",'Salary &amp; Fringe'!$F$1:'Salary &amp; Fringe'!$F$300,"Calendar*")</f>
        <v>0</v>
      </c>
      <c r="G9" s="251">
        <f>SUMIFS('Salary &amp; Fringe'!$U$1:'Salary &amp; Fringe'!$U$300,'Salary &amp; Fringe'!$E$1:'Salary &amp; Fringe'!$E$300,"Senior Person 5",'Salary &amp; Fringe'!$F$1:'Salary &amp; Fringe'!$F$300,"Academic")</f>
        <v>0</v>
      </c>
      <c r="H9" s="251">
        <f>SUMIFS('Salary &amp; Fringe'!$U$1:'Salary &amp; Fringe'!$U$300,'Salary &amp; Fringe'!$E$1:'Salary &amp; Fringe'!$E$300,"Senior Person 5",'Salary &amp; Fringe'!$F$1:'Salary &amp; Fringe'!$F$300,"Summer")</f>
        <v>0</v>
      </c>
      <c r="I9" s="247">
        <f>SUMIF('Salary &amp; Fringe'!$E$1:$E$300,"Senior Person 5",'Salary &amp; Fringe'!$AE$1:$AE$300)</f>
        <v>0</v>
      </c>
      <c r="J9" s="247">
        <f>SUMIF('Salary &amp; Fringe'!$E$1:$E$300,"Senior Person 5",'Salary &amp; Fringe'!$AO$1:$AO$300)</f>
        <v>0</v>
      </c>
      <c r="K9" s="247">
        <f t="shared" si="4"/>
        <v>0</v>
      </c>
    </row>
    <row r="10" spans="1:11" s="217" customFormat="1" thickBot="1" x14ac:dyDescent="0.3">
      <c r="A10" s="224"/>
      <c r="B10" s="241"/>
      <c r="C10" s="241"/>
      <c r="D10" s="241"/>
      <c r="E10" s="241"/>
      <c r="F10" s="583" t="s">
        <v>366</v>
      </c>
      <c r="G10" s="584"/>
      <c r="H10" s="585"/>
      <c r="I10" s="247">
        <f>SUMIF('Salary &amp; Fringe'!$E$1:$E$300,"Senior (Other)",'Salary &amp; Fringe'!$AE$1:$AE$300)</f>
        <v>0</v>
      </c>
      <c r="J10" s="247">
        <f>SUMIF('Salary &amp; Fringe'!$E$1:$E$300,"Senior (Other)",'Salary &amp; Fringe'!$AO$1:$AO$300)</f>
        <v>0</v>
      </c>
      <c r="K10" s="247">
        <f t="shared" si="4"/>
        <v>0</v>
      </c>
    </row>
    <row r="11" spans="1:11" s="217" customFormat="1" thickBot="1" x14ac:dyDescent="0.3">
      <c r="I11" s="583" t="s">
        <v>361</v>
      </c>
      <c r="J11" s="586"/>
      <c r="K11" s="235">
        <f>SUM(K5:K10)</f>
        <v>0</v>
      </c>
    </row>
    <row r="12" spans="1:11" x14ac:dyDescent="0.25">
      <c r="A12" s="126" t="s">
        <v>102</v>
      </c>
    </row>
    <row r="13" spans="1:11" s="221" customFormat="1" ht="15" x14ac:dyDescent="0.25">
      <c r="A13" s="223" t="s">
        <v>341</v>
      </c>
      <c r="B13" s="587" t="s">
        <v>342</v>
      </c>
      <c r="C13" s="587"/>
      <c r="D13" s="249" t="s">
        <v>343</v>
      </c>
      <c r="E13" s="249" t="s">
        <v>344</v>
      </c>
      <c r="F13" s="249" t="s">
        <v>345</v>
      </c>
      <c r="G13" s="587" t="s">
        <v>338</v>
      </c>
      <c r="H13" s="587"/>
      <c r="I13" s="587" t="s">
        <v>339</v>
      </c>
      <c r="J13" s="587"/>
      <c r="K13" s="249" t="s">
        <v>346</v>
      </c>
    </row>
    <row r="14" spans="1:11" s="217" customFormat="1" ht="15" x14ac:dyDescent="0.25">
      <c r="A14" s="239">
        <f>SUMIFS('Salary &amp; Fringe'!$I$1:$I$300,'Salary &amp; Fringe'!$E$1:$E$300,"Postdoc", 'Salary &amp; Fringe'!$U$1:'Salary &amp; Fringe'!$U$300, "&gt;0")</f>
        <v>0</v>
      </c>
      <c r="B14" s="580" t="s">
        <v>103</v>
      </c>
      <c r="C14" s="580"/>
      <c r="D14" s="251">
        <f>SUMIFS('Salary &amp; Fringe'!$U$1:'Salary &amp; Fringe'!$U$300,'Salary &amp; Fringe'!$E$1:'Salary &amp; Fringe'!$E$300,"Postdoc",'Salary &amp; Fringe'!$F$1:'Salary &amp; Fringe'!$F$300,"Calendar*")+SUMIFS('Salary &amp; Fringe'!$U$1:'Salary &amp; Fringe'!$U$300,'Salary &amp; Fringe'!$E$1:'Salary &amp; Fringe'!$E$300,"Postdoc",'Salary &amp; Fringe'!$F$1:'Salary &amp; Fringe'!$F$300,"Hourly")</f>
        <v>0</v>
      </c>
      <c r="E14" s="251">
        <f>SUMIFS('Salary &amp; Fringe'!$U$1:'Salary &amp; Fringe'!$U$300,'Salary &amp; Fringe'!$E$1:'Salary &amp; Fringe'!$E$300,"Postdoc",'Salary &amp; Fringe'!$F$1:'Salary &amp; Fringe'!$F$300,"Academic")</f>
        <v>0</v>
      </c>
      <c r="F14" s="251">
        <f>SUMIFS('Salary &amp; Fringe'!$U$1:'Salary &amp; Fringe'!$U$300,'Salary &amp; Fringe'!$E$1:'Salary &amp; Fringe'!$E$300,"Postdoc",'Salary &amp; Fringe'!$F$1:'Salary &amp; Fringe'!$F$300,"Summer")</f>
        <v>0</v>
      </c>
      <c r="G14" s="581">
        <f>SUMIF('Salary &amp; Fringe'!$E$1:$E$300,"Postdoc",'Salary &amp; Fringe'!$AE$1:$AE$300)</f>
        <v>0</v>
      </c>
      <c r="H14" s="582"/>
      <c r="I14" s="581">
        <f>SUMIF('Salary &amp; Fringe'!$E$1:$E$300,"Postdoc",'Salary &amp; Fringe'!$AO$1:$AO$300)</f>
        <v>0</v>
      </c>
      <c r="J14" s="582"/>
      <c r="K14" s="247">
        <f>G14+I14</f>
        <v>0</v>
      </c>
    </row>
    <row r="15" spans="1:11" s="217" customFormat="1" ht="15" x14ac:dyDescent="0.25">
      <c r="A15" s="243"/>
      <c r="B15" s="580" t="s">
        <v>105</v>
      </c>
      <c r="C15" s="580"/>
      <c r="D15" s="251">
        <f>SUMIFS('Salary &amp; Fringe'!$U$1:'Salary &amp; Fringe'!$U$300,'Salary &amp; Fringe'!$E$1:'Salary &amp; Fringe'!$E$300,"Grad",'Salary &amp; Fringe'!$F$1:'Salary &amp; Fringe'!$F$300,"Calendar*")+SUMIFS('Salary &amp; Fringe'!$U$1:'Salary &amp; Fringe'!$U$300,'Salary &amp; Fringe'!$E$1:'Salary &amp; Fringe'!$E$300,"Grad",'Salary &amp; Fringe'!$F$1:'Salary &amp; Fringe'!$F$300,"Hourly")</f>
        <v>0</v>
      </c>
      <c r="E15" s="251">
        <f>SUMIFS('Salary &amp; Fringe'!$U$1:'Salary &amp; Fringe'!$U$300,'Salary &amp; Fringe'!$E$1:'Salary &amp; Fringe'!$E$300,"Grad",'Salary &amp; Fringe'!$F$1:'Salary &amp; Fringe'!$F$300,"Academic")*2</f>
        <v>0</v>
      </c>
      <c r="F15" s="251">
        <f>SUMIFS('Salary &amp; Fringe'!$U$1:'Salary &amp; Fringe'!$U$300,'Salary &amp; Fringe'!$E$1:'Salary &amp; Fringe'!$E$300,"Grad",'Salary &amp; Fringe'!$F$1:'Salary &amp; Fringe'!$F$300,"Summer")*2</f>
        <v>0</v>
      </c>
      <c r="G15" s="588">
        <f>SUMIF('Salary &amp; Fringe'!$E$1:$E$300,"Grad",'Salary &amp; Fringe'!$AE$1:$AE$300)</f>
        <v>0</v>
      </c>
      <c r="H15" s="588"/>
      <c r="I15" s="588">
        <f>SUMIF('Salary &amp; Fringe'!$E$1:$E$300,"Grad",'Salary &amp; Fringe'!$AO$1:$AO$300)</f>
        <v>0</v>
      </c>
      <c r="J15" s="588"/>
      <c r="K15" s="247">
        <f t="shared" ref="K15:K23" si="5">G15+I15</f>
        <v>0</v>
      </c>
    </row>
    <row r="16" spans="1:11" s="217" customFormat="1" ht="15" x14ac:dyDescent="0.25">
      <c r="A16" s="243"/>
      <c r="B16" s="580" t="s">
        <v>367</v>
      </c>
      <c r="C16" s="580"/>
      <c r="D16" s="251">
        <f>SUMIF('Salary &amp; Fringe'!$E$1:$E$300,"Undergrad",'Salary &amp; Fringe'!$U$1:$U$300)</f>
        <v>0</v>
      </c>
      <c r="E16" s="251">
        <v>0</v>
      </c>
      <c r="F16" s="251">
        <v>0</v>
      </c>
      <c r="G16" s="588">
        <f>SUMIF('Salary &amp; Fringe'!$E$1:$E$300,"Undergrad",'Salary &amp; Fringe'!$AE$1:$AE$300)</f>
        <v>0</v>
      </c>
      <c r="H16" s="588"/>
      <c r="I16" s="588">
        <f>SUMIF('Salary &amp; Fringe'!$E$1:$E$300,"Undergrad",'Salary &amp; Fringe'!$AO$1:$AO$300)</f>
        <v>0</v>
      </c>
      <c r="J16" s="588"/>
      <c r="K16" s="247">
        <f t="shared" si="5"/>
        <v>0</v>
      </c>
    </row>
    <row r="17" spans="1:11" s="217" customFormat="1" ht="15" x14ac:dyDescent="0.25">
      <c r="A17" s="251">
        <f>SUMIFS('Salary &amp; Fringe'!$I$1:$I$300,'Salary &amp; Fringe'!$E$1:$E$300,"Clerical", 'Salary &amp; Fringe'!$U$1:'Salary &amp; Fringe'!$U$300, "&gt;0")</f>
        <v>0</v>
      </c>
      <c r="B17" s="580" t="s">
        <v>348</v>
      </c>
      <c r="C17" s="580"/>
      <c r="D17" s="251">
        <f>SUMIFS('Salary &amp; Fringe'!$U$1:'Salary &amp; Fringe'!$U$300,'Salary &amp; Fringe'!$E$1:'Salary &amp; Fringe'!$E$300,"Clerical",'Salary &amp; Fringe'!$F$1:'Salary &amp; Fringe'!$F$300,"Calendar*")+SUMIFS('Salary &amp; Fringe'!$U$1:'Salary &amp; Fringe'!$U$300,'Salary &amp; Fringe'!$E$1:'Salary &amp; Fringe'!$E$300,"Clerical",'Salary &amp; Fringe'!$F$1:'Salary &amp; Fringe'!$F$300,"Hourly")</f>
        <v>0</v>
      </c>
      <c r="E17" s="251">
        <f>SUMIFS('Salary &amp; Fringe'!$U$1:'Salary &amp; Fringe'!$U$300,'Salary &amp; Fringe'!$E$1:'Salary &amp; Fringe'!$E$300,"Clerical",'Salary &amp; Fringe'!$F$1:'Salary &amp; Fringe'!$F$300,"Academic")</f>
        <v>0</v>
      </c>
      <c r="F17" s="251">
        <f>SUMIFS('Salary &amp; Fringe'!$U$1:'Salary &amp; Fringe'!$U$300,'Salary &amp; Fringe'!$E$1:'Salary &amp; Fringe'!$E$300,"Clerical",'Salary &amp; Fringe'!$F$1:'Salary &amp; Fringe'!$F$300,"Summer")</f>
        <v>0</v>
      </c>
      <c r="G17" s="588">
        <f>SUMIF('Salary &amp; Fringe'!$E$1:$E$300,"Clerical",'Salary &amp; Fringe'!$AE$1:$AE$300)</f>
        <v>0</v>
      </c>
      <c r="H17" s="588"/>
      <c r="I17" s="588">
        <f>SUMIF('Salary &amp; Fringe'!$E$1:$E$300,"Clerical",'Salary &amp; Fringe'!$AO$1:$AO$300)</f>
        <v>0</v>
      </c>
      <c r="J17" s="588"/>
      <c r="K17" s="247">
        <f t="shared" si="5"/>
        <v>0</v>
      </c>
    </row>
    <row r="18" spans="1:11" s="217" customFormat="1" ht="15" x14ac:dyDescent="0.25">
      <c r="A18" s="251">
        <f>SUMIFS('Salary &amp; Fringe'!$I$1:$I$300,'Salary &amp; Fringe'!$E$1:$E$300,"Other 1", 'Salary &amp; Fringe'!$U$1:'Salary &amp; Fringe'!$U$300, "&gt;0")</f>
        <v>0</v>
      </c>
      <c r="B18" s="580" t="str">
        <f>IF(G18&gt;0,(INDEX('Salary &amp; Fringe'!$B$1:$B$300,MATCH("Other 1",'Salary &amp; Fringe'!$E$1:$E$300,FALSE),1)),"")</f>
        <v/>
      </c>
      <c r="C18" s="580"/>
      <c r="D18" s="251">
        <f>SUMIFS('Salary &amp; Fringe'!$U$1:'Salary &amp; Fringe'!$U$300,'Salary &amp; Fringe'!$E$1:'Salary &amp; Fringe'!$E$300,"Other 1",'Salary &amp; Fringe'!$F$1:'Salary &amp; Fringe'!$F$300,"Calendar*")+SUMIFS('Salary &amp; Fringe'!$U$1:'Salary &amp; Fringe'!$U$300,'Salary &amp; Fringe'!$E$1:'Salary &amp; Fringe'!$E$300,"Other 1",'Salary &amp; Fringe'!$F$1:'Salary &amp; Fringe'!$F$300,"Hourly")</f>
        <v>0</v>
      </c>
      <c r="E18" s="251">
        <f>SUMIFS('Salary &amp; Fringe'!$U$1:'Salary &amp; Fringe'!$U$300,'Salary &amp; Fringe'!$E$1:'Salary &amp; Fringe'!$E$300,"Other 1",'Salary &amp; Fringe'!$F$1:'Salary &amp; Fringe'!$F$300,"Academic")</f>
        <v>0</v>
      </c>
      <c r="F18" s="251">
        <f>SUMIFS('Salary &amp; Fringe'!$U$1:'Salary &amp; Fringe'!$U$300,'Salary &amp; Fringe'!$E$1:'Salary &amp; Fringe'!$E$300,"Other 1",'Salary &amp; Fringe'!$F$1:'Salary &amp; Fringe'!$F$300,"Summer")</f>
        <v>0</v>
      </c>
      <c r="G18" s="588">
        <f>SUMIF('Salary &amp; Fringe'!$E$1:$E$300,"Other 1",'Salary &amp; Fringe'!$AE$1:$AE$300)</f>
        <v>0</v>
      </c>
      <c r="H18" s="588"/>
      <c r="I18" s="588">
        <f>SUMIF('Salary &amp; Fringe'!$E$1:$E$300,"Other 1",'Salary &amp; Fringe'!$AO$1:$AO$300)</f>
        <v>0</v>
      </c>
      <c r="J18" s="588"/>
      <c r="K18" s="247">
        <f t="shared" si="5"/>
        <v>0</v>
      </c>
    </row>
    <row r="19" spans="1:11" s="217" customFormat="1" ht="15" x14ac:dyDescent="0.25">
      <c r="A19" s="251">
        <f>SUMIFS('Salary &amp; Fringe'!$I$1:$I$300,'Salary &amp; Fringe'!$E$1:$E$300,"Other 2", 'Salary &amp; Fringe'!$U$1:'Salary &amp; Fringe'!$U$300, "&gt;0")</f>
        <v>0</v>
      </c>
      <c r="B19" s="580" t="str">
        <f>IF(G19&gt;0,(INDEX('Salary &amp; Fringe'!$B$1:$B$300,MATCH("Other 2",'Salary &amp; Fringe'!$E$1:$E$300,FALSE),1)),"")</f>
        <v/>
      </c>
      <c r="C19" s="580"/>
      <c r="D19" s="251">
        <f>SUMIFS('Salary &amp; Fringe'!$U$1:'Salary &amp; Fringe'!$U$300,'Salary &amp; Fringe'!$E$1:'Salary &amp; Fringe'!$E$300,"Other 2",'Salary &amp; Fringe'!$F$1:'Salary &amp; Fringe'!$F$300,"Calendar*")+SUMIFS('Salary &amp; Fringe'!$U$1:'Salary &amp; Fringe'!$U$300,'Salary &amp; Fringe'!$E$1:'Salary &amp; Fringe'!$E$300,"Other 2",'Salary &amp; Fringe'!$F$1:'Salary &amp; Fringe'!$F$300,"Hourly")</f>
        <v>0</v>
      </c>
      <c r="E19" s="251">
        <f>SUMIFS('Salary &amp; Fringe'!$U$1:'Salary &amp; Fringe'!$U$300,'Salary &amp; Fringe'!$E$1:'Salary &amp; Fringe'!$E$300,"Other 2",'Salary &amp; Fringe'!$F$1:'Salary &amp; Fringe'!$F$300,"Academic")</f>
        <v>0</v>
      </c>
      <c r="F19" s="251">
        <f>SUMIFS('Salary &amp; Fringe'!$U$1:'Salary &amp; Fringe'!$U$300,'Salary &amp; Fringe'!$E$1:'Salary &amp; Fringe'!$E$300,"Other 2",'Salary &amp; Fringe'!$F$1:'Salary &amp; Fringe'!$F$300,"Summer")</f>
        <v>0</v>
      </c>
      <c r="G19" s="588">
        <f>SUMIF('Salary &amp; Fringe'!$E$1:$E$300,"Other 2",'Salary &amp; Fringe'!$AE$1:$AE$300)</f>
        <v>0</v>
      </c>
      <c r="H19" s="588"/>
      <c r="I19" s="588">
        <f>SUMIF('Salary &amp; Fringe'!$E$1:$E$300,"Other 2",'Salary &amp; Fringe'!$AO$1:$AO$300)</f>
        <v>0</v>
      </c>
      <c r="J19" s="588"/>
      <c r="K19" s="247">
        <f t="shared" si="5"/>
        <v>0</v>
      </c>
    </row>
    <row r="20" spans="1:11" s="217" customFormat="1" ht="15" x14ac:dyDescent="0.25">
      <c r="A20" s="251">
        <f>SUMIFS('Salary &amp; Fringe'!$I$1:$I$300,'Salary &amp; Fringe'!$E$1:$E$300,"Other 3", 'Salary &amp; Fringe'!$U$1:'Salary &amp; Fringe'!$U$300, "&gt;0")</f>
        <v>0</v>
      </c>
      <c r="B20" s="580" t="str">
        <f>IF(G20&gt;0,(INDEX('Salary &amp; Fringe'!$B$1:$B$300,MATCH("Other 3",'Salary &amp; Fringe'!$E$1:$E$300,FALSE),1)),"")</f>
        <v/>
      </c>
      <c r="C20" s="580"/>
      <c r="D20" s="251">
        <f>SUMIFS('Salary &amp; Fringe'!$U$1:'Salary &amp; Fringe'!$U$300,'Salary &amp; Fringe'!$E$1:'Salary &amp; Fringe'!$E$300,"Other 3",'Salary &amp; Fringe'!$F$1:'Salary &amp; Fringe'!$F$300,"Calendar*")+SUMIFS('Salary &amp; Fringe'!$U$1:'Salary &amp; Fringe'!$U$300,'Salary &amp; Fringe'!$E$1:'Salary &amp; Fringe'!$E$300,"Other 3",'Salary &amp; Fringe'!$F$1:'Salary &amp; Fringe'!$F$300,"Hourly")</f>
        <v>0</v>
      </c>
      <c r="E20" s="251">
        <f>SUMIFS('Salary &amp; Fringe'!$U$1:'Salary &amp; Fringe'!$U$300,'Salary &amp; Fringe'!$E$1:'Salary &amp; Fringe'!$E$300,"Other 3",'Salary &amp; Fringe'!$F$1:'Salary &amp; Fringe'!$F$300,"Academic")</f>
        <v>0</v>
      </c>
      <c r="F20" s="251">
        <f>SUMIFS('Salary &amp; Fringe'!$U$1:'Salary &amp; Fringe'!$U$300,'Salary &amp; Fringe'!$E$1:'Salary &amp; Fringe'!$E$300,"Other 3",'Salary &amp; Fringe'!$F$1:'Salary &amp; Fringe'!$F$300,"Summer")</f>
        <v>0</v>
      </c>
      <c r="G20" s="588">
        <f>SUMIF('Salary &amp; Fringe'!$E$1:$E$300,"Other 3",'Salary &amp; Fringe'!$AE$1:$AE$300)</f>
        <v>0</v>
      </c>
      <c r="H20" s="588"/>
      <c r="I20" s="588">
        <f>SUMIF('Salary &amp; Fringe'!$E$1:$E$300,"Other 3",'Salary &amp; Fringe'!$AO$1:$AO$300)</f>
        <v>0</v>
      </c>
      <c r="J20" s="588"/>
      <c r="K20" s="247">
        <f t="shared" si="5"/>
        <v>0</v>
      </c>
    </row>
    <row r="21" spans="1:11" s="217" customFormat="1" ht="15" x14ac:dyDescent="0.25">
      <c r="A21" s="251">
        <f>SUMIFS('Salary &amp; Fringe'!$I$1:$I$300,'Salary &amp; Fringe'!$E$1:$E$300,"Other 4", 'Salary &amp; Fringe'!$U$1:'Salary &amp; Fringe'!$U$300, "&gt;0")</f>
        <v>0</v>
      </c>
      <c r="B21" s="580" t="str">
        <f>IF(G21&gt;0,(INDEX('Salary &amp; Fringe'!$B$1:$B$300,MATCH("Other 4",'Salary &amp; Fringe'!$E$1:$E$300,FALSE),1)),"")</f>
        <v/>
      </c>
      <c r="C21" s="580"/>
      <c r="D21" s="251">
        <f>SUMIFS('Salary &amp; Fringe'!$U$1:'Salary &amp; Fringe'!$U$300,'Salary &amp; Fringe'!$E$1:'Salary &amp; Fringe'!$E$300,"Other 4",'Salary &amp; Fringe'!$F$1:'Salary &amp; Fringe'!$F$300,"Calendar*")+SUMIFS('Salary &amp; Fringe'!$U$1:'Salary &amp; Fringe'!$U$300,'Salary &amp; Fringe'!$E$1:'Salary &amp; Fringe'!$E$300,"Other 4",'Salary &amp; Fringe'!$F$1:'Salary &amp; Fringe'!$F$300,"Hourly")</f>
        <v>0</v>
      </c>
      <c r="E21" s="251">
        <f>SUMIFS('Salary &amp; Fringe'!$U$1:'Salary &amp; Fringe'!$U$300,'Salary &amp; Fringe'!$E$1:'Salary &amp; Fringe'!$E$300,"Other 4",'Salary &amp; Fringe'!$F$1:'Salary &amp; Fringe'!$F$300,"Academic")</f>
        <v>0</v>
      </c>
      <c r="F21" s="251">
        <f>SUMIFS('Salary &amp; Fringe'!$U$1:'Salary &amp; Fringe'!$U$300,'Salary &amp; Fringe'!$E$1:'Salary &amp; Fringe'!$E$300,"Other 4",'Salary &amp; Fringe'!$F$1:'Salary &amp; Fringe'!$F$300,"Summer")</f>
        <v>0</v>
      </c>
      <c r="G21" s="588">
        <f>SUMIF('Salary &amp; Fringe'!$E$1:$E$300,"Other 4",'Salary &amp; Fringe'!$AE$1:$AE$300)</f>
        <v>0</v>
      </c>
      <c r="H21" s="588"/>
      <c r="I21" s="588">
        <f>SUMIF('Salary &amp; Fringe'!$E$1:$E$300,"Other 4",'Salary &amp; Fringe'!$AO$1:$AO$300)</f>
        <v>0</v>
      </c>
      <c r="J21" s="588"/>
      <c r="K21" s="247">
        <f t="shared" si="5"/>
        <v>0</v>
      </c>
    </row>
    <row r="22" spans="1:11" s="217" customFormat="1" ht="15" x14ac:dyDescent="0.25">
      <c r="A22" s="251">
        <f>SUMIFS('Salary &amp; Fringe'!$I$1:$I$300,'Salary &amp; Fringe'!$E$1:$E$300,"Other 5", 'Salary &amp; Fringe'!$U$1:'Salary &amp; Fringe'!$U$300, "&gt;0")</f>
        <v>0</v>
      </c>
      <c r="B22" s="580" t="str">
        <f>IF(G22&gt;0,(INDEX('Salary &amp; Fringe'!$B$1:$B$300,MATCH("Other 5",'Salary &amp; Fringe'!$E$1:$E$300,FALSE),1)),"")</f>
        <v/>
      </c>
      <c r="C22" s="580"/>
      <c r="D22" s="251">
        <f>SUMIFS('Salary &amp; Fringe'!$U$1:'Salary &amp; Fringe'!$U$300,'Salary &amp; Fringe'!$E$1:'Salary &amp; Fringe'!$E$300,"Other 5",'Salary &amp; Fringe'!$F$1:'Salary &amp; Fringe'!$F$300,"Calendar*")+SUMIFS('Salary &amp; Fringe'!$U$1:'Salary &amp; Fringe'!$U$300,'Salary &amp; Fringe'!$E$1:'Salary &amp; Fringe'!$E$300,"Other 5",'Salary &amp; Fringe'!$F$1:'Salary &amp; Fringe'!$F$300,"Hourly")</f>
        <v>0</v>
      </c>
      <c r="E22" s="251">
        <f>SUMIFS('Salary &amp; Fringe'!$U$1:'Salary &amp; Fringe'!$U$300,'Salary &amp; Fringe'!$E$1:'Salary &amp; Fringe'!$E$300,"Other 5",'Salary &amp; Fringe'!$F$1:'Salary &amp; Fringe'!$F$300,"Academic")</f>
        <v>0</v>
      </c>
      <c r="F22" s="251">
        <f>SUMIFS('Salary &amp; Fringe'!$U$1:'Salary &amp; Fringe'!$U$300,'Salary &amp; Fringe'!$E$1:'Salary &amp; Fringe'!$E$300,"Other 5",'Salary &amp; Fringe'!$F$1:'Salary &amp; Fringe'!$F$300,"Summer")</f>
        <v>0</v>
      </c>
      <c r="G22" s="588">
        <f>SUMIF('Salary &amp; Fringe'!$E$1:$E$300,"Other 5",'Salary &amp; Fringe'!$AE$1:$AE$300)</f>
        <v>0</v>
      </c>
      <c r="H22" s="588"/>
      <c r="I22" s="588">
        <f>SUMIF('Salary &amp; Fringe'!$E$1:$E$300,"Other 5",'Salary &amp; Fringe'!$AO$1:$AO$300)</f>
        <v>0</v>
      </c>
      <c r="J22" s="588"/>
      <c r="K22" s="247">
        <f t="shared" si="5"/>
        <v>0</v>
      </c>
    </row>
    <row r="23" spans="1:11" s="217" customFormat="1" thickBot="1" x14ac:dyDescent="0.3">
      <c r="A23" s="234">
        <f>SUMIFS('Salary &amp; Fringe'!$I$1:$I$300,'Salary &amp; Fringe'!$E$1:$E$300,"Other 6", 'Salary &amp; Fringe'!$U$1:'Salary &amp; Fringe'!$U$300, "&gt;0")</f>
        <v>0</v>
      </c>
      <c r="B23" s="580" t="str">
        <f>IF(G23&gt;0,(INDEX('Salary &amp; Fringe'!$B$1:$B$300,MATCH("Other 6",'Salary &amp; Fringe'!$E$1:$E$300,FALSE),1)),"")</f>
        <v/>
      </c>
      <c r="C23" s="580"/>
      <c r="D23" s="251">
        <f>SUMIFS('Salary &amp; Fringe'!$U$1:'Salary &amp; Fringe'!$U$300,'Salary &amp; Fringe'!$E$1:'Salary &amp; Fringe'!$E$300,"Other 6",'Salary &amp; Fringe'!$F$1:'Salary &amp; Fringe'!$F$300,"Calendar*")+SUMIFS('Salary &amp; Fringe'!$U$1:'Salary &amp; Fringe'!$U$300,'Salary &amp; Fringe'!$E$1:'Salary &amp; Fringe'!$E$300,"Other 6",'Salary &amp; Fringe'!$F$1:'Salary &amp; Fringe'!$F$300,"Hourly")</f>
        <v>0</v>
      </c>
      <c r="E23" s="251">
        <f>SUMIFS('Salary &amp; Fringe'!$U$1:'Salary &amp; Fringe'!$U$300,'Salary &amp; Fringe'!$E$1:'Salary &amp; Fringe'!$E$300,"Other 6",'Salary &amp; Fringe'!$F$1:'Salary &amp; Fringe'!$F$300,"Academic")</f>
        <v>0</v>
      </c>
      <c r="F23" s="251">
        <f>SUMIFS('Salary &amp; Fringe'!$U$1:'Salary &amp; Fringe'!$U$300,'Salary &amp; Fringe'!$E$1:'Salary &amp; Fringe'!$E$300,"Other 6",'Salary &amp; Fringe'!$F$1:'Salary &amp; Fringe'!$F$300,"Summer")</f>
        <v>0</v>
      </c>
      <c r="G23" s="588">
        <f>SUMIF('Salary &amp; Fringe'!$E$1:$E$300,"Other 6",'Salary &amp; Fringe'!$AE$1:$AE$300)</f>
        <v>0</v>
      </c>
      <c r="H23" s="588"/>
      <c r="I23" s="588">
        <f>SUMIF('Salary &amp; Fringe'!$E$1:$E$300,"Other 6",'Salary &amp; Fringe'!$AO$1:$AO$300)</f>
        <v>0</v>
      </c>
      <c r="J23" s="588"/>
      <c r="K23" s="247">
        <f t="shared" si="5"/>
        <v>0</v>
      </c>
    </row>
    <row r="24" spans="1:11" s="218" customFormat="1" thickBot="1" x14ac:dyDescent="0.3">
      <c r="A24" s="237">
        <f>SUM(A14:A23)</f>
        <v>0</v>
      </c>
      <c r="B24" s="589" t="s">
        <v>376</v>
      </c>
      <c r="C24" s="590"/>
      <c r="D24" s="591"/>
      <c r="H24" s="583" t="s">
        <v>349</v>
      </c>
      <c r="I24" s="584"/>
      <c r="J24" s="585"/>
      <c r="K24" s="240">
        <f>SUM(K14:K23)</f>
        <v>0</v>
      </c>
    </row>
    <row r="25" spans="1:11" s="217" customFormat="1" thickBot="1" x14ac:dyDescent="0.3">
      <c r="A25" s="224"/>
      <c r="H25" s="583" t="s">
        <v>310</v>
      </c>
      <c r="I25" s="584"/>
      <c r="J25" s="585"/>
      <c r="K25" s="235">
        <f>K11+K24</f>
        <v>0</v>
      </c>
    </row>
    <row r="26" spans="1:11" x14ac:dyDescent="0.25">
      <c r="A26" s="126" t="s">
        <v>298</v>
      </c>
    </row>
    <row r="27" spans="1:11" x14ac:dyDescent="0.25">
      <c r="A27" s="593" t="s">
        <v>350</v>
      </c>
      <c r="B27" s="593"/>
      <c r="C27" s="593"/>
      <c r="D27" s="593"/>
      <c r="E27" s="593"/>
      <c r="F27" s="593"/>
      <c r="G27" s="593"/>
      <c r="H27" s="593"/>
      <c r="I27" s="593"/>
      <c r="J27" s="593"/>
      <c r="K27" s="249" t="s">
        <v>346</v>
      </c>
    </row>
    <row r="28" spans="1:11" s="217" customFormat="1" ht="15" x14ac:dyDescent="0.25">
      <c r="A28" s="592" t="str">
        <f>IF(ISBLANK(Budget!V47),"",Budget!A47)</f>
        <v/>
      </c>
      <c r="B28" s="592"/>
      <c r="C28" s="592"/>
      <c r="D28" s="592"/>
      <c r="E28" s="592"/>
      <c r="F28" s="592"/>
      <c r="G28" s="592"/>
      <c r="H28" s="592"/>
      <c r="I28" s="592"/>
      <c r="J28" s="592"/>
      <c r="K28" s="247">
        <f>IF(Budget!V47&gt;0,Budget!V47,0)</f>
        <v>0</v>
      </c>
    </row>
    <row r="29" spans="1:11" s="217" customFormat="1" ht="15" x14ac:dyDescent="0.25">
      <c r="A29" s="592" t="str">
        <f>IF(ISBLANK(Budget!V48),"",Budget!A48)</f>
        <v/>
      </c>
      <c r="B29" s="592"/>
      <c r="C29" s="592"/>
      <c r="D29" s="592"/>
      <c r="E29" s="592"/>
      <c r="F29" s="592"/>
      <c r="G29" s="592"/>
      <c r="H29" s="592"/>
      <c r="I29" s="592"/>
      <c r="J29" s="592"/>
      <c r="K29" s="247">
        <f>IF(Budget!V48&gt;0,Budget!V48,0)</f>
        <v>0</v>
      </c>
    </row>
    <row r="30" spans="1:11" s="217" customFormat="1" ht="15" x14ac:dyDescent="0.25">
      <c r="A30" s="592" t="str">
        <f>IF(ISBLANK(Budget!V49),"",Budget!A49)</f>
        <v/>
      </c>
      <c r="B30" s="592"/>
      <c r="C30" s="592"/>
      <c r="D30" s="592"/>
      <c r="E30" s="592"/>
      <c r="F30" s="592"/>
      <c r="G30" s="592"/>
      <c r="H30" s="592"/>
      <c r="I30" s="592"/>
      <c r="J30" s="592"/>
      <c r="K30" s="247">
        <f>IF(Budget!V49&gt;0,Budget!V49,0)</f>
        <v>0</v>
      </c>
    </row>
    <row r="31" spans="1:11" s="217" customFormat="1" ht="15" x14ac:dyDescent="0.25">
      <c r="A31" s="592" t="str">
        <f>IF(ISBLANK(Budget!V50),"",Budget!A50)</f>
        <v/>
      </c>
      <c r="B31" s="592"/>
      <c r="C31" s="592"/>
      <c r="D31" s="592"/>
      <c r="E31" s="592"/>
      <c r="F31" s="592"/>
      <c r="G31" s="592"/>
      <c r="H31" s="592"/>
      <c r="I31" s="592"/>
      <c r="J31" s="592"/>
      <c r="K31" s="247">
        <f>IF(Budget!V50&gt;0,Budget!V50,0)</f>
        <v>0</v>
      </c>
    </row>
    <row r="32" spans="1:11" s="217" customFormat="1" thickBot="1" x14ac:dyDescent="0.3">
      <c r="A32" s="592" t="str">
        <f>IF(ISBLANK(Budget!V51),"",Budget!A51)</f>
        <v/>
      </c>
      <c r="B32" s="592"/>
      <c r="C32" s="592"/>
      <c r="D32" s="592"/>
      <c r="E32" s="592"/>
      <c r="F32" s="592"/>
      <c r="G32" s="592"/>
      <c r="H32" s="592"/>
      <c r="I32" s="592"/>
      <c r="J32" s="592"/>
      <c r="K32" s="247">
        <f>IF(Budget!V51&gt;0,Budget!V51,0)</f>
        <v>0</v>
      </c>
    </row>
    <row r="33" spans="1:12" s="217" customFormat="1" thickBot="1" x14ac:dyDescent="0.3">
      <c r="J33" s="225" t="s">
        <v>58</v>
      </c>
      <c r="K33" s="235">
        <f>TotalEquipment9</f>
        <v>0</v>
      </c>
    </row>
    <row r="34" spans="1:12" s="217" customFormat="1" ht="15" x14ac:dyDescent="0.25">
      <c r="J34" s="226"/>
      <c r="K34" s="227"/>
    </row>
    <row r="35" spans="1:12" x14ac:dyDescent="0.25">
      <c r="A35" s="228" t="s">
        <v>299</v>
      </c>
      <c r="B35" s="228"/>
      <c r="C35" s="228"/>
      <c r="D35" s="228"/>
      <c r="E35" s="228"/>
      <c r="F35" s="228"/>
      <c r="G35" s="228"/>
      <c r="H35" s="228"/>
      <c r="I35" s="228"/>
      <c r="J35" s="229"/>
      <c r="K35" s="249" t="s">
        <v>346</v>
      </c>
      <c r="L35" s="221"/>
    </row>
    <row r="36" spans="1:12" s="217" customFormat="1" ht="15" x14ac:dyDescent="0.25">
      <c r="A36" s="594" t="s">
        <v>351</v>
      </c>
      <c r="B36" s="595"/>
      <c r="C36" s="595"/>
      <c r="D36" s="595"/>
      <c r="E36" s="595"/>
      <c r="F36" s="595"/>
      <c r="G36" s="595"/>
      <c r="H36" s="595"/>
      <c r="I36" s="595"/>
      <c r="J36" s="596"/>
      <c r="K36" s="238">
        <f>Budget!V39</f>
        <v>0</v>
      </c>
    </row>
    <row r="37" spans="1:12" s="217" customFormat="1" thickBot="1" x14ac:dyDescent="0.3">
      <c r="A37" s="594" t="s">
        <v>352</v>
      </c>
      <c r="B37" s="595"/>
      <c r="C37" s="595"/>
      <c r="D37" s="595"/>
      <c r="E37" s="595"/>
      <c r="F37" s="595"/>
      <c r="G37" s="595"/>
      <c r="H37" s="595"/>
      <c r="I37" s="595"/>
      <c r="J37" s="596"/>
      <c r="K37" s="238">
        <f>Budget!V44</f>
        <v>0</v>
      </c>
    </row>
    <row r="38" spans="1:12" s="217" customFormat="1" thickBot="1" x14ac:dyDescent="0.3">
      <c r="C38" s="597"/>
      <c r="D38" s="597"/>
      <c r="J38" s="248" t="s">
        <v>353</v>
      </c>
      <c r="K38" s="235">
        <f>SUM(K36:K37)</f>
        <v>0</v>
      </c>
    </row>
    <row r="39" spans="1:12" s="217" customFormat="1" ht="15" x14ac:dyDescent="0.25">
      <c r="K39" s="252"/>
    </row>
    <row r="40" spans="1:12" x14ac:dyDescent="0.25">
      <c r="A40" s="228" t="s">
        <v>300</v>
      </c>
      <c r="B40" s="228"/>
      <c r="C40" s="228"/>
      <c r="D40" s="228"/>
      <c r="E40" s="228"/>
      <c r="F40" s="228"/>
      <c r="G40" s="228"/>
      <c r="H40" s="228"/>
      <c r="I40" s="228"/>
      <c r="J40" s="229"/>
      <c r="K40" s="249" t="s">
        <v>346</v>
      </c>
      <c r="L40" s="221"/>
    </row>
    <row r="41" spans="1:12" s="217" customFormat="1" ht="15" x14ac:dyDescent="0.25">
      <c r="A41" s="592" t="s">
        <v>315</v>
      </c>
      <c r="B41" s="592"/>
      <c r="C41" s="592"/>
      <c r="D41" s="592"/>
      <c r="E41" s="592"/>
      <c r="F41" s="592"/>
      <c r="G41" s="592"/>
      <c r="H41" s="592"/>
      <c r="I41" s="592"/>
      <c r="J41" s="592"/>
      <c r="K41" s="247">
        <f>SUMIF(Budget!$A$2:$A$504,"PS Tuition/Fees/Health Insurance",Budget!$V$2:$V$504)</f>
        <v>0</v>
      </c>
    </row>
    <row r="42" spans="1:12" s="217" customFormat="1" ht="15" x14ac:dyDescent="0.25">
      <c r="A42" s="592" t="s">
        <v>316</v>
      </c>
      <c r="B42" s="592"/>
      <c r="C42" s="592"/>
      <c r="D42" s="592"/>
      <c r="E42" s="592"/>
      <c r="F42" s="592"/>
      <c r="G42" s="592"/>
      <c r="H42" s="592"/>
      <c r="I42" s="592"/>
      <c r="J42" s="592"/>
      <c r="K42" s="247">
        <f>SUMIF(Budget!$A$2:$A$504,"PS Stipends",Budget!$V$2:$V$504)</f>
        <v>0</v>
      </c>
    </row>
    <row r="43" spans="1:12" s="217" customFormat="1" ht="15" x14ac:dyDescent="0.25">
      <c r="A43" s="592" t="s">
        <v>317</v>
      </c>
      <c r="B43" s="592"/>
      <c r="C43" s="592"/>
      <c r="D43" s="592"/>
      <c r="E43" s="592"/>
      <c r="F43" s="592"/>
      <c r="G43" s="592"/>
      <c r="H43" s="592"/>
      <c r="I43" s="592"/>
      <c r="J43" s="592"/>
      <c r="K43" s="247">
        <f>SUMIF(Budget!$A$2:$A$504,"PS Travel",Budget!$V$2:$V$504)</f>
        <v>0</v>
      </c>
    </row>
    <row r="44" spans="1:12" s="217" customFormat="1" ht="15" x14ac:dyDescent="0.25">
      <c r="A44" s="592" t="s">
        <v>318</v>
      </c>
      <c r="B44" s="592"/>
      <c r="C44" s="592"/>
      <c r="D44" s="592"/>
      <c r="E44" s="592"/>
      <c r="F44" s="592"/>
      <c r="G44" s="592"/>
      <c r="H44" s="592"/>
      <c r="I44" s="592"/>
      <c r="J44" s="592"/>
      <c r="K44" s="247">
        <f>SUMIF(Budget!$A$2:$A$504,"PS Subsistence",Budget!$V$2:$V$504)</f>
        <v>0</v>
      </c>
    </row>
    <row r="45" spans="1:12" s="217" customFormat="1" thickBot="1" x14ac:dyDescent="0.3">
      <c r="A45" s="592" t="s">
        <v>319</v>
      </c>
      <c r="B45" s="599"/>
      <c r="C45" s="592"/>
      <c r="D45" s="592"/>
      <c r="E45" s="592"/>
      <c r="F45" s="592"/>
      <c r="G45" s="592"/>
      <c r="H45" s="592"/>
      <c r="I45" s="592"/>
      <c r="J45" s="592"/>
      <c r="K45" s="236">
        <f>SUMIF(Budget!$A$2:$A$504,"PS Other",Budget!$V$2:$V$504)</f>
        <v>0</v>
      </c>
    </row>
    <row r="46" spans="1:12" s="217" customFormat="1" thickBot="1" x14ac:dyDescent="0.3">
      <c r="A46" s="231" t="s">
        <v>354</v>
      </c>
      <c r="B46" s="244"/>
      <c r="C46" s="220"/>
      <c r="D46" s="220"/>
      <c r="H46" s="600" t="s">
        <v>355</v>
      </c>
      <c r="I46" s="600"/>
      <c r="J46" s="583"/>
      <c r="K46" s="235">
        <f>SUM(K41:K45)</f>
        <v>0</v>
      </c>
    </row>
    <row r="47" spans="1:12" s="217" customFormat="1" ht="15" customHeight="1" x14ac:dyDescent="0.25">
      <c r="C47" s="597"/>
      <c r="D47" s="597"/>
      <c r="K47" s="221"/>
    </row>
    <row r="48" spans="1:12" x14ac:dyDescent="0.25">
      <c r="A48" s="126" t="s">
        <v>301</v>
      </c>
      <c r="K48" s="230" t="s">
        <v>346</v>
      </c>
    </row>
    <row r="49" spans="1:12" s="217" customFormat="1" ht="15" x14ac:dyDescent="0.25">
      <c r="A49" s="601" t="s">
        <v>120</v>
      </c>
      <c r="B49" s="601"/>
      <c r="C49" s="601"/>
      <c r="D49" s="601"/>
      <c r="E49" s="601"/>
      <c r="F49" s="601"/>
      <c r="G49" s="601"/>
      <c r="H49" s="601"/>
      <c r="I49" s="601"/>
      <c r="J49" s="601"/>
      <c r="K49" s="247">
        <f>SUMIF(Budget!$A$2:$A$504,"Materials &amp; Supplies",Budget!$V$2:$V$504)</f>
        <v>0</v>
      </c>
    </row>
    <row r="50" spans="1:12" s="217" customFormat="1" ht="15" x14ac:dyDescent="0.25">
      <c r="A50" s="601" t="s">
        <v>322</v>
      </c>
      <c r="B50" s="601"/>
      <c r="C50" s="601"/>
      <c r="D50" s="601"/>
      <c r="E50" s="601"/>
      <c r="F50" s="601"/>
      <c r="G50" s="601"/>
      <c r="H50" s="601"/>
      <c r="I50" s="601"/>
      <c r="J50" s="601"/>
      <c r="K50" s="247">
        <f>SUMIF(Budget!$A$2:$A$504,"Publication Costs/Page Charges",Budget!$V$2:$V$504)</f>
        <v>0</v>
      </c>
    </row>
    <row r="51" spans="1:12" s="217" customFormat="1" ht="15" x14ac:dyDescent="0.25">
      <c r="A51" s="601" t="s">
        <v>122</v>
      </c>
      <c r="B51" s="601"/>
      <c r="C51" s="601"/>
      <c r="D51" s="601"/>
      <c r="E51" s="601"/>
      <c r="F51" s="601"/>
      <c r="G51" s="601"/>
      <c r="H51" s="601"/>
      <c r="I51" s="601"/>
      <c r="J51" s="601"/>
      <c r="K51" s="247">
        <f>SUMIF(Budget!$A$2:$A$504,"Consultant Services",Budget!$V$2:$V$504)</f>
        <v>0</v>
      </c>
    </row>
    <row r="52" spans="1:12" s="217" customFormat="1" ht="15" x14ac:dyDescent="0.25">
      <c r="A52" s="601" t="s">
        <v>323</v>
      </c>
      <c r="B52" s="601"/>
      <c r="C52" s="601"/>
      <c r="D52" s="601"/>
      <c r="E52" s="601"/>
      <c r="F52" s="601"/>
      <c r="G52" s="601"/>
      <c r="H52" s="601"/>
      <c r="I52" s="601"/>
      <c r="J52" s="601"/>
      <c r="K52" s="247">
        <f>SUMIF(Budget!$A$2:$A$504,"Computer (ADPE) Services",Budget!$V$2:$V$504)</f>
        <v>0</v>
      </c>
    </row>
    <row r="53" spans="1:12" s="217" customFormat="1" ht="15" x14ac:dyDescent="0.25">
      <c r="A53" s="601" t="s">
        <v>360</v>
      </c>
      <c r="B53" s="601"/>
      <c r="C53" s="601"/>
      <c r="D53" s="601"/>
      <c r="E53" s="601"/>
      <c r="F53" s="601"/>
      <c r="G53" s="601"/>
      <c r="H53" s="601"/>
      <c r="I53" s="601"/>
      <c r="J53" s="601"/>
      <c r="K53" s="247">
        <f ca="1">TotalSubs9+TotalMulti9+SUMIF(Budget!$A$2:$A$504,"Vendor Contract",Budget!$V$2:$V$504)+SUMIF(Budget!$A$2:$A$504,"Service Agreement",Budget!$V$2:$V$504)</f>
        <v>0</v>
      </c>
    </row>
    <row r="54" spans="1:12" s="217" customFormat="1" x14ac:dyDescent="0.25">
      <c r="A54" s="601" t="s">
        <v>325</v>
      </c>
      <c r="B54" s="601"/>
      <c r="C54" s="601"/>
      <c r="D54" s="601"/>
      <c r="E54" s="601"/>
      <c r="F54" s="601"/>
      <c r="G54" s="601"/>
      <c r="H54" s="601"/>
      <c r="I54" s="601"/>
      <c r="J54" s="601"/>
      <c r="K54" s="242">
        <f>SUMIF(Budget!$A$2:$A$504,"Other Rentals",Budget!$V$2:$V$504)+SUMIF(Budget!$A$2:$A$504,"Space Rentals",Budget!$V$2:$V$504)+SUMIF(Budget!$A$2:$A$504,"Equipment or Facility Rental/User Fees",Budget!$V$2:$V$504)</f>
        <v>0</v>
      </c>
    </row>
    <row r="55" spans="1:12" s="217" customFormat="1" ht="15" x14ac:dyDescent="0.25">
      <c r="A55" s="601" t="s">
        <v>326</v>
      </c>
      <c r="B55" s="601"/>
      <c r="C55" s="601"/>
      <c r="D55" s="601"/>
      <c r="E55" s="601"/>
      <c r="F55" s="601"/>
      <c r="G55" s="601"/>
      <c r="H55" s="601"/>
      <c r="I55" s="601"/>
      <c r="J55" s="601"/>
      <c r="K55" s="247">
        <f>SUMIF(Budget!$A$2:$A$504,"Alterations and Renovations",Budget!$V$2:$V$504)</f>
        <v>0</v>
      </c>
    </row>
    <row r="56" spans="1:12" s="217" customFormat="1" ht="15" x14ac:dyDescent="0.25">
      <c r="A56" s="598" t="s">
        <v>379</v>
      </c>
      <c r="B56" s="598"/>
      <c r="C56" s="598"/>
      <c r="D56" s="598"/>
      <c r="E56" s="598"/>
      <c r="F56" s="598"/>
      <c r="G56" s="598"/>
      <c r="H56" s="598"/>
      <c r="I56" s="598"/>
      <c r="J56" s="598"/>
      <c r="K56" s="247">
        <f>TotalGSR9</f>
        <v>0</v>
      </c>
    </row>
    <row r="57" spans="1:12" s="217" customFormat="1" ht="15" x14ac:dyDescent="0.25">
      <c r="A57" s="598" t="s">
        <v>380</v>
      </c>
      <c r="B57" s="598"/>
      <c r="C57" s="598"/>
      <c r="D57" s="598"/>
      <c r="E57" s="598"/>
      <c r="F57" s="598"/>
      <c r="G57" s="598"/>
      <c r="H57" s="598"/>
      <c r="I57" s="598"/>
      <c r="J57" s="598"/>
      <c r="K57" s="247">
        <f>SUMIF(Budget!$A$2:$A$504,"Other",Budget!$V$2:$V$504)+SUMIF(Budget!$A$2:$A$504,"Other Maintenance Fees",Budget!$V$2:$V$504)</f>
        <v>0</v>
      </c>
    </row>
    <row r="58" spans="1:12" s="217" customFormat="1" thickBot="1" x14ac:dyDescent="0.3">
      <c r="A58" s="602" t="s">
        <v>383</v>
      </c>
      <c r="B58" s="602"/>
      <c r="C58" s="602"/>
      <c r="D58" s="602"/>
      <c r="E58" s="602"/>
      <c r="F58" s="602"/>
      <c r="G58" s="602"/>
      <c r="H58" s="602"/>
      <c r="I58" s="602"/>
      <c r="J58" s="602"/>
      <c r="K58" s="236">
        <v>0</v>
      </c>
    </row>
    <row r="59" spans="1:12" s="217" customFormat="1" ht="15" customHeight="1" thickBot="1" x14ac:dyDescent="0.3">
      <c r="I59" s="600" t="s">
        <v>21</v>
      </c>
      <c r="J59" s="583"/>
      <c r="K59" s="235">
        <f ca="1">SUM(K49:K58)</f>
        <v>0</v>
      </c>
    </row>
    <row r="60" spans="1:12" s="217" customFormat="1" ht="15" x14ac:dyDescent="0.25">
      <c r="K60" s="252"/>
    </row>
    <row r="61" spans="1:12" ht="16.5" thickBot="1" x14ac:dyDescent="0.3">
      <c r="A61" s="126" t="s">
        <v>302</v>
      </c>
      <c r="K61" s="230" t="s">
        <v>346</v>
      </c>
      <c r="L61" s="221"/>
    </row>
    <row r="62" spans="1:12" s="217" customFormat="1" ht="15" customHeight="1" thickBot="1" x14ac:dyDescent="0.3">
      <c r="A62" s="583" t="s">
        <v>359</v>
      </c>
      <c r="B62" s="584"/>
      <c r="C62" s="584"/>
      <c r="D62" s="584"/>
      <c r="E62" s="584"/>
      <c r="F62" s="584"/>
      <c r="G62" s="584"/>
      <c r="H62" s="584"/>
      <c r="I62" s="584"/>
      <c r="J62" s="584"/>
      <c r="K62" s="235">
        <f ca="1">K25+K33+K38+K46+K59</f>
        <v>0</v>
      </c>
    </row>
    <row r="63" spans="1:12" s="217" customFormat="1" ht="15" x14ac:dyDescent="0.25">
      <c r="K63" s="252"/>
    </row>
    <row r="64" spans="1:12" x14ac:dyDescent="0.25">
      <c r="A64" s="126" t="s">
        <v>303</v>
      </c>
    </row>
    <row r="65" spans="1:11" s="217" customFormat="1" ht="15" x14ac:dyDescent="0.25">
      <c r="A65" s="587" t="s">
        <v>357</v>
      </c>
      <c r="B65" s="587"/>
      <c r="C65" s="587"/>
      <c r="D65" s="587"/>
      <c r="E65" s="587"/>
      <c r="F65" s="587" t="s">
        <v>358</v>
      </c>
      <c r="G65" s="587"/>
      <c r="H65" s="587"/>
      <c r="I65" s="587"/>
      <c r="J65" s="587"/>
      <c r="K65" s="249" t="s">
        <v>346</v>
      </c>
    </row>
    <row r="66" spans="1:11" s="217" customFormat="1" ht="15" x14ac:dyDescent="0.25">
      <c r="A66" s="603" t="str">
        <f>Budget!V105</f>
        <v xml:space="preserve"> </v>
      </c>
      <c r="B66" s="603"/>
      <c r="C66" s="603"/>
      <c r="D66" s="603"/>
      <c r="E66" s="603"/>
      <c r="F66" s="588">
        <f ca="1">Budget!V101</f>
        <v>0</v>
      </c>
      <c r="G66" s="588"/>
      <c r="H66" s="588"/>
      <c r="I66" s="588"/>
      <c r="J66" s="588"/>
      <c r="K66" s="247" t="e">
        <f ca="1">ROUND((A66*F66),0)</f>
        <v>#VALUE!</v>
      </c>
    </row>
    <row r="67" spans="1:11" s="217" customFormat="1" ht="15" x14ac:dyDescent="0.25">
      <c r="A67" s="577"/>
      <c r="B67" s="577"/>
      <c r="C67" s="577"/>
      <c r="D67" s="577"/>
      <c r="E67" s="577"/>
      <c r="F67" s="578"/>
      <c r="G67" s="578"/>
      <c r="H67" s="578"/>
      <c r="I67" s="578"/>
      <c r="J67" s="578"/>
      <c r="K67" s="253">
        <f t="shared" ref="K67:K69" si="6">ROUND((A67*F67),0)</f>
        <v>0</v>
      </c>
    </row>
    <row r="68" spans="1:11" s="217" customFormat="1" ht="15" x14ac:dyDescent="0.25">
      <c r="A68" s="577"/>
      <c r="B68" s="577"/>
      <c r="C68" s="577"/>
      <c r="D68" s="577"/>
      <c r="E68" s="577"/>
      <c r="F68" s="578"/>
      <c r="G68" s="578"/>
      <c r="H68" s="578"/>
      <c r="I68" s="578"/>
      <c r="J68" s="578"/>
      <c r="K68" s="253">
        <f t="shared" si="6"/>
        <v>0</v>
      </c>
    </row>
    <row r="69" spans="1:11" s="217" customFormat="1" thickBot="1" x14ac:dyDescent="0.3">
      <c r="A69" s="577"/>
      <c r="B69" s="577"/>
      <c r="C69" s="577"/>
      <c r="D69" s="577"/>
      <c r="E69" s="577"/>
      <c r="F69" s="578"/>
      <c r="G69" s="578"/>
      <c r="H69" s="578"/>
      <c r="I69" s="578"/>
      <c r="J69" s="578"/>
      <c r="K69" s="253">
        <f t="shared" si="6"/>
        <v>0</v>
      </c>
    </row>
    <row r="70" spans="1:11" s="217" customFormat="1" thickBot="1" x14ac:dyDescent="0.3">
      <c r="I70" s="583" t="s">
        <v>27</v>
      </c>
      <c r="J70" s="584"/>
      <c r="K70" s="235" t="e">
        <f ca="1">SUM(K66:K69)</f>
        <v>#VALUE!</v>
      </c>
    </row>
    <row r="71" spans="1:11" s="217" customFormat="1" ht="15" x14ac:dyDescent="0.25">
      <c r="K71" s="252"/>
    </row>
    <row r="72" spans="1:11" ht="16.5" thickBot="1" x14ac:dyDescent="0.3">
      <c r="A72" s="126" t="s">
        <v>304</v>
      </c>
      <c r="K72" s="232" t="s">
        <v>346</v>
      </c>
    </row>
    <row r="73" spans="1:11" s="217" customFormat="1" thickBot="1" x14ac:dyDescent="0.3">
      <c r="A73" s="583" t="s">
        <v>356</v>
      </c>
      <c r="B73" s="584"/>
      <c r="C73" s="584"/>
      <c r="D73" s="584"/>
      <c r="E73" s="584"/>
      <c r="F73" s="584"/>
      <c r="G73" s="584"/>
      <c r="H73" s="584"/>
      <c r="I73" s="584"/>
      <c r="J73" s="584"/>
      <c r="K73" s="235" t="e">
        <f ca="1">K62+K70</f>
        <v>#VALUE!</v>
      </c>
    </row>
    <row r="74" spans="1:11" s="217" customFormat="1" ht="15" x14ac:dyDescent="0.25">
      <c r="K74" s="252"/>
    </row>
    <row r="75" spans="1:11" ht="16.5" thickBot="1" x14ac:dyDescent="0.3">
      <c r="A75" s="126" t="s">
        <v>305</v>
      </c>
      <c r="K75" s="230" t="s">
        <v>346</v>
      </c>
    </row>
    <row r="76" spans="1:11" s="217" customFormat="1" thickBot="1" x14ac:dyDescent="0.3">
      <c r="A76" s="604"/>
      <c r="B76" s="605"/>
      <c r="C76" s="605"/>
      <c r="D76" s="605"/>
      <c r="E76" s="605"/>
      <c r="F76" s="605"/>
      <c r="G76" s="605"/>
      <c r="H76" s="605"/>
      <c r="I76" s="605"/>
      <c r="J76" s="605"/>
      <c r="K76" s="245"/>
    </row>
    <row r="78" spans="1:11" ht="16.5" thickBot="1" x14ac:dyDescent="0.3"/>
    <row r="79" spans="1:11" x14ac:dyDescent="0.25">
      <c r="A79" s="254" t="s">
        <v>364</v>
      </c>
      <c r="B79" s="255"/>
      <c r="C79" s="255"/>
      <c r="D79" s="255"/>
      <c r="E79" s="255"/>
      <c r="F79" s="255"/>
      <c r="G79" s="255"/>
      <c r="H79" s="255"/>
      <c r="I79" s="255"/>
      <c r="J79" s="255"/>
      <c r="K79" s="256"/>
    </row>
    <row r="80" spans="1:11" x14ac:dyDescent="0.25">
      <c r="A80" s="257" t="s">
        <v>369</v>
      </c>
      <c r="B80" s="258"/>
      <c r="C80" s="258"/>
      <c r="D80" s="258"/>
      <c r="E80" s="258"/>
      <c r="F80" s="258"/>
      <c r="G80" s="258"/>
      <c r="H80" s="258"/>
      <c r="I80" s="258"/>
      <c r="J80" s="258"/>
      <c r="K80" s="259"/>
    </row>
    <row r="81" spans="1:11" x14ac:dyDescent="0.25">
      <c r="A81" s="257" t="s">
        <v>368</v>
      </c>
      <c r="B81" s="258"/>
      <c r="C81" s="258"/>
      <c r="D81" s="258"/>
      <c r="E81" s="258"/>
      <c r="F81" s="258"/>
      <c r="G81" s="258"/>
      <c r="H81" s="258"/>
      <c r="I81" s="258"/>
      <c r="J81" s="258"/>
      <c r="K81" s="259"/>
    </row>
    <row r="82" spans="1:11" x14ac:dyDescent="0.25">
      <c r="A82" s="257" t="s">
        <v>385</v>
      </c>
      <c r="B82" s="258"/>
      <c r="C82" s="258"/>
      <c r="D82" s="258"/>
      <c r="E82" s="258"/>
      <c r="F82" s="258"/>
      <c r="G82" s="258"/>
      <c r="H82" s="258"/>
      <c r="I82" s="258"/>
      <c r="J82" s="258"/>
      <c r="K82" s="259"/>
    </row>
    <row r="83" spans="1:11" ht="16.5" thickBot="1" x14ac:dyDescent="0.3">
      <c r="A83" s="260" t="s">
        <v>378</v>
      </c>
      <c r="B83" s="261"/>
      <c r="C83" s="261"/>
      <c r="D83" s="261"/>
      <c r="E83" s="261"/>
      <c r="F83" s="261"/>
      <c r="G83" s="261"/>
      <c r="H83" s="261"/>
      <c r="I83" s="261"/>
      <c r="J83" s="261"/>
      <c r="K83" s="262"/>
    </row>
  </sheetData>
  <sheetProtection algorithmName="SHA-512" hashValue="POfdXYmwiqG65JMLvtMs5+e5gMIi+1L9hBPdFMg32Hgpnyu+QDNeJvKuVLZt5+AW67fMj1BQ8IsK9G5Egx7SLg==" saltValue="2OZl3dEG47ZQeI32XIiMLQ==" spinCount="100000" sheet="1" objects="1" scenarios="1" selectLockedCells="1"/>
  <mergeCells count="79">
    <mergeCell ref="A69:E69"/>
    <mergeCell ref="F69:J69"/>
    <mergeCell ref="I70:J70"/>
    <mergeCell ref="A73:J73"/>
    <mergeCell ref="A76:J76"/>
    <mergeCell ref="A66:E66"/>
    <mergeCell ref="F66:J66"/>
    <mergeCell ref="A67:E67"/>
    <mergeCell ref="F67:J67"/>
    <mergeCell ref="A68:E68"/>
    <mergeCell ref="F68:J68"/>
    <mergeCell ref="A57:J57"/>
    <mergeCell ref="A58:J58"/>
    <mergeCell ref="I59:J59"/>
    <mergeCell ref="A62:J62"/>
    <mergeCell ref="A65:E65"/>
    <mergeCell ref="F65:J65"/>
    <mergeCell ref="A56:J56"/>
    <mergeCell ref="A44:J44"/>
    <mergeCell ref="A45:J45"/>
    <mergeCell ref="H46:J46"/>
    <mergeCell ref="C47:D47"/>
    <mergeCell ref="A49:J49"/>
    <mergeCell ref="A50:J50"/>
    <mergeCell ref="A51:J51"/>
    <mergeCell ref="A52:J52"/>
    <mergeCell ref="A53:J53"/>
    <mergeCell ref="A54:J54"/>
    <mergeCell ref="A55:J55"/>
    <mergeCell ref="A43:J43"/>
    <mergeCell ref="A27:J27"/>
    <mergeCell ref="A28:J28"/>
    <mergeCell ref="A29:J29"/>
    <mergeCell ref="A30:J30"/>
    <mergeCell ref="A31:J31"/>
    <mergeCell ref="A32:J32"/>
    <mergeCell ref="A36:J36"/>
    <mergeCell ref="A37:J37"/>
    <mergeCell ref="C38:D38"/>
    <mergeCell ref="A41:J41"/>
    <mergeCell ref="A42:J42"/>
    <mergeCell ref="H25:J25"/>
    <mergeCell ref="B21:C21"/>
    <mergeCell ref="G21:H21"/>
    <mergeCell ref="I21:J21"/>
    <mergeCell ref="B22:C22"/>
    <mergeCell ref="G22:H22"/>
    <mergeCell ref="I22:J22"/>
    <mergeCell ref="B23:C23"/>
    <mergeCell ref="G23:H23"/>
    <mergeCell ref="I23:J23"/>
    <mergeCell ref="B24:D24"/>
    <mergeCell ref="H24:J24"/>
    <mergeCell ref="B19:C19"/>
    <mergeCell ref="G19:H19"/>
    <mergeCell ref="I19:J19"/>
    <mergeCell ref="B20:C20"/>
    <mergeCell ref="G20:H20"/>
    <mergeCell ref="I20:J20"/>
    <mergeCell ref="B17:C17"/>
    <mergeCell ref="G17:H17"/>
    <mergeCell ref="I17:J17"/>
    <mergeCell ref="B18:C18"/>
    <mergeCell ref="G18:H18"/>
    <mergeCell ref="I18:J18"/>
    <mergeCell ref="B15:C15"/>
    <mergeCell ref="G15:H15"/>
    <mergeCell ref="I15:J15"/>
    <mergeCell ref="B16:C16"/>
    <mergeCell ref="G16:H16"/>
    <mergeCell ref="I16:J16"/>
    <mergeCell ref="B14:C14"/>
    <mergeCell ref="G14:H14"/>
    <mergeCell ref="I14:J14"/>
    <mergeCell ref="F10:H10"/>
    <mergeCell ref="I11:J11"/>
    <mergeCell ref="B13:C13"/>
    <mergeCell ref="G13:H13"/>
    <mergeCell ref="I13:J13"/>
  </mergeCells>
  <pageMargins left="0.75" right="0.75" top="1" bottom="1" header="0.5" footer="0.5"/>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L83"/>
  <sheetViews>
    <sheetView workbookViewId="0">
      <selection activeCell="A15" sqref="A15"/>
    </sheetView>
  </sheetViews>
  <sheetFormatPr defaultColWidth="11" defaultRowHeight="15.75" x14ac:dyDescent="0.25"/>
  <cols>
    <col min="1" max="1" width="30.875" customWidth="1"/>
    <col min="2" max="8" width="10.875" customWidth="1"/>
    <col min="9" max="9" width="14.875" customWidth="1"/>
    <col min="10" max="10" width="15" customWidth="1"/>
    <col min="11" max="11" width="14.875" style="246" customWidth="1"/>
  </cols>
  <sheetData>
    <row r="1" spans="1:11" x14ac:dyDescent="0.25">
      <c r="A1" s="126" t="s">
        <v>386</v>
      </c>
    </row>
    <row r="3" spans="1:11" x14ac:dyDescent="0.25">
      <c r="A3" s="126" t="s">
        <v>297</v>
      </c>
    </row>
    <row r="4" spans="1:11" s="221" customFormat="1" ht="15" x14ac:dyDescent="0.25">
      <c r="A4" s="250" t="s">
        <v>11</v>
      </c>
      <c r="B4" s="249" t="s">
        <v>363</v>
      </c>
      <c r="C4" s="249" t="s">
        <v>332</v>
      </c>
      <c r="D4" s="249" t="s">
        <v>333</v>
      </c>
      <c r="E4" s="249" t="s">
        <v>334</v>
      </c>
      <c r="F4" s="249" t="s">
        <v>335</v>
      </c>
      <c r="G4" s="249" t="s">
        <v>336</v>
      </c>
      <c r="H4" s="249" t="s">
        <v>337</v>
      </c>
      <c r="I4" s="249" t="s">
        <v>338</v>
      </c>
      <c r="J4" s="249" t="s">
        <v>339</v>
      </c>
      <c r="K4" s="249" t="s">
        <v>340</v>
      </c>
    </row>
    <row r="5" spans="1:11" s="217" customFormat="1" ht="15" x14ac:dyDescent="0.25">
      <c r="A5" s="222" t="str">
        <f>IF(B5&gt;0,(INDEX('Salary &amp; Fringe'!$A$1:$A$300,MATCH("Senior Person 1",'Salary &amp; Fringe'!$E$1:$E$300,FALSE),1)),"")</f>
        <v/>
      </c>
      <c r="B5" s="247">
        <f>IFERROR(IF(F5&gt;0, C5, D5+E5),0)</f>
        <v>0</v>
      </c>
      <c r="C5" s="247">
        <f>IFERROR(IF(F5&gt;0, (I5/SUM(F5:H5)*12),0),0)</f>
        <v>0</v>
      </c>
      <c r="D5" s="247">
        <f>IFERROR(IF($C5=0, (I5/SUM(F5:H5)*9),0),0)</f>
        <v>0</v>
      </c>
      <c r="E5" s="247">
        <f>IFERROR(IF($C5=0, (I5/SUM(F5:H5)*3),0),0)</f>
        <v>0</v>
      </c>
      <c r="F5" s="251">
        <f>SUMIFS('Salary &amp; Fringe'!$V$1:'Salary &amp; Fringe'!$V$300,'Salary &amp; Fringe'!$E$1:'Salary &amp; Fringe'!$E$300,"Senior Person 1",'Salary &amp; Fringe'!$F$1:'Salary &amp; Fringe'!$F$300,"Calendar*")</f>
        <v>0</v>
      </c>
      <c r="G5" s="251">
        <f>SUMIFS('Salary &amp; Fringe'!$V$1:'Salary &amp; Fringe'!$V$300,'Salary &amp; Fringe'!$E$1:'Salary &amp; Fringe'!$E$300,"Senior Person 1",'Salary &amp; Fringe'!$F$1:'Salary &amp; Fringe'!$F$300,"Academic")</f>
        <v>0</v>
      </c>
      <c r="H5" s="251">
        <f>SUMIFS('Salary &amp; Fringe'!$V$1:'Salary &amp; Fringe'!$V$300,'Salary &amp; Fringe'!$E$1:'Salary &amp; Fringe'!$E$300,"Senior Person 1",'Salary &amp; Fringe'!$F$1:'Salary &amp; Fringe'!$F$300,"Summer")</f>
        <v>0</v>
      </c>
      <c r="I5" s="247">
        <f>SUMIF('Salary &amp; Fringe'!$E$1:$E$300,"Senior Person 1",'Salary &amp; Fringe'!$AF$1:$AF$300)</f>
        <v>0</v>
      </c>
      <c r="J5" s="247">
        <f>SUMIF('Salary &amp; Fringe'!$E$1:$E$300,"Senior Person 1",'Salary &amp; Fringe'!$AP$1:$AP$300)</f>
        <v>0</v>
      </c>
      <c r="K5" s="247">
        <f>I5+J5</f>
        <v>0</v>
      </c>
    </row>
    <row r="6" spans="1:11" s="217" customFormat="1" ht="15" x14ac:dyDescent="0.25">
      <c r="A6" s="222" t="str">
        <f>IF(B6&gt;0,(INDEX('Salary &amp; Fringe'!$A$1:$A$300,MATCH("Senior Person 2",'Salary &amp; Fringe'!$E$1:$E$300,FALSE),1)),"")</f>
        <v/>
      </c>
      <c r="B6" s="247">
        <f t="shared" ref="B6:B9" si="0">IFERROR(IF(F6&gt;0, C6, D6+E6),0)</f>
        <v>0</v>
      </c>
      <c r="C6" s="247">
        <f t="shared" ref="C6:C9" si="1">IFERROR(IF(F6&gt;0, (I6/SUM(F6:H6)*12),0),0)</f>
        <v>0</v>
      </c>
      <c r="D6" s="247">
        <f t="shared" ref="D6:D9" si="2">IFERROR(IF($C6=0, (I6/SUM(F6:H6)*9),0),0)</f>
        <v>0</v>
      </c>
      <c r="E6" s="247">
        <f t="shared" ref="E6:E9" si="3">IFERROR(IF($C6=0, (I6/SUM(F6:H6)*3),0),0)</f>
        <v>0</v>
      </c>
      <c r="F6" s="251">
        <f>SUMIFS('Salary &amp; Fringe'!$V$1:'Salary &amp; Fringe'!$V$300,'Salary &amp; Fringe'!$E$1:'Salary &amp; Fringe'!$E$300,"Senior Person 2",'Salary &amp; Fringe'!$F$1:'Salary &amp; Fringe'!$F$300,"Calendar*")</f>
        <v>0</v>
      </c>
      <c r="G6" s="251">
        <f>SUMIFS('Salary &amp; Fringe'!$V$1:'Salary &amp; Fringe'!$V$300,'Salary &amp; Fringe'!$E$1:'Salary &amp; Fringe'!$E$300,"Senior Person 2",'Salary &amp; Fringe'!$F$1:'Salary &amp; Fringe'!$F$300,"Academic")</f>
        <v>0</v>
      </c>
      <c r="H6" s="251">
        <f>SUMIFS('Salary &amp; Fringe'!$V$1:'Salary &amp; Fringe'!$V$300,'Salary &amp; Fringe'!$E$1:'Salary &amp; Fringe'!$E$300,"Senior Person 2",'Salary &amp; Fringe'!$F$1:'Salary &amp; Fringe'!$F$300,"Summer")</f>
        <v>0</v>
      </c>
      <c r="I6" s="247">
        <f>SUMIF('Salary &amp; Fringe'!$E$1:$E$300,"Senior Person 2",'Salary &amp; Fringe'!$AF$1:$AF$300)</f>
        <v>0</v>
      </c>
      <c r="J6" s="247">
        <f>SUMIF('Salary &amp; Fringe'!$E$1:$E$300,"Senior Person 2",'Salary &amp; Fringe'!$AP$1:$AP$300)</f>
        <v>0</v>
      </c>
      <c r="K6" s="247">
        <f t="shared" ref="K6:K10" si="4">I6+J6</f>
        <v>0</v>
      </c>
    </row>
    <row r="7" spans="1:11" s="217" customFormat="1" ht="15" x14ac:dyDescent="0.25">
      <c r="A7" s="222" t="str">
        <f>IF(B7&gt;0,(INDEX('Salary &amp; Fringe'!$A$1:$A$300,MATCH("Senior Person 3",'Salary &amp; Fringe'!$E$1:$E$300,FALSE),1)),"")</f>
        <v/>
      </c>
      <c r="B7" s="247">
        <f t="shared" si="0"/>
        <v>0</v>
      </c>
      <c r="C7" s="247">
        <f t="shared" si="1"/>
        <v>0</v>
      </c>
      <c r="D7" s="247">
        <f t="shared" si="2"/>
        <v>0</v>
      </c>
      <c r="E7" s="247">
        <f t="shared" si="3"/>
        <v>0</v>
      </c>
      <c r="F7" s="251">
        <f>SUMIFS('Salary &amp; Fringe'!$V$1:'Salary &amp; Fringe'!$V$300,'Salary &amp; Fringe'!$E$1:'Salary &amp; Fringe'!$E$300,"Senior Person 3",'Salary &amp; Fringe'!$F$1:'Salary &amp; Fringe'!$F$300,"Calendar*")</f>
        <v>0</v>
      </c>
      <c r="G7" s="251">
        <f>SUMIFS('Salary &amp; Fringe'!$V$1:'Salary &amp; Fringe'!$V$300,'Salary &amp; Fringe'!$E$1:'Salary &amp; Fringe'!$E$300,"Senior Person 3",'Salary &amp; Fringe'!$F$1:'Salary &amp; Fringe'!$F$300,"Academic")</f>
        <v>0</v>
      </c>
      <c r="H7" s="251">
        <f>SUMIFS('Salary &amp; Fringe'!$V$1:'Salary &amp; Fringe'!$V$300,'Salary &amp; Fringe'!$E$1:'Salary &amp; Fringe'!$E$300,"Senior Person 3",'Salary &amp; Fringe'!$F$1:'Salary &amp; Fringe'!$F$300,"Summer")</f>
        <v>0</v>
      </c>
      <c r="I7" s="247">
        <f>SUMIF('Salary &amp; Fringe'!$E$1:$E$300,"Senior Person 3",'Salary &amp; Fringe'!$AF$1:$AF$300)</f>
        <v>0</v>
      </c>
      <c r="J7" s="247">
        <f>SUMIF('Salary &amp; Fringe'!$E$1:$E$300,"Senior Person 3",'Salary &amp; Fringe'!$AP$1:$AP$300)</f>
        <v>0</v>
      </c>
      <c r="K7" s="247">
        <f t="shared" si="4"/>
        <v>0</v>
      </c>
    </row>
    <row r="8" spans="1:11" s="217" customFormat="1" ht="15" x14ac:dyDescent="0.25">
      <c r="A8" s="222" t="str">
        <f>IF(B8&gt;0,(INDEX('Salary &amp; Fringe'!$A$1:$A$300,MATCH("Senior Person 4",'Salary &amp; Fringe'!$E$1:$E$300,FALSE),1)),"")</f>
        <v/>
      </c>
      <c r="B8" s="247">
        <f t="shared" si="0"/>
        <v>0</v>
      </c>
      <c r="C8" s="247">
        <f t="shared" si="1"/>
        <v>0</v>
      </c>
      <c r="D8" s="247">
        <f t="shared" si="2"/>
        <v>0</v>
      </c>
      <c r="E8" s="247">
        <f t="shared" si="3"/>
        <v>0</v>
      </c>
      <c r="F8" s="251">
        <f>SUMIFS('Salary &amp; Fringe'!$V$1:'Salary &amp; Fringe'!$V$300,'Salary &amp; Fringe'!$E$1:'Salary &amp; Fringe'!$E$300,"Senior Person 4",'Salary &amp; Fringe'!$F$1:'Salary &amp; Fringe'!$F$300,"Calendar*")</f>
        <v>0</v>
      </c>
      <c r="G8" s="251">
        <f>SUMIFS('Salary &amp; Fringe'!$V$1:'Salary &amp; Fringe'!$V$300,'Salary &amp; Fringe'!$E$1:'Salary &amp; Fringe'!$E$300,"Senior Person 4",'Salary &amp; Fringe'!$F$1:'Salary &amp; Fringe'!$F$300,"Academic")</f>
        <v>0</v>
      </c>
      <c r="H8" s="251">
        <f>SUMIFS('Salary &amp; Fringe'!$V$1:'Salary &amp; Fringe'!$V$300,'Salary &amp; Fringe'!$E$1:'Salary &amp; Fringe'!$E$300,"Senior Person 4",'Salary &amp; Fringe'!$F$1:'Salary &amp; Fringe'!$F$300,"Summer")</f>
        <v>0</v>
      </c>
      <c r="I8" s="247">
        <f>SUMIF('Salary &amp; Fringe'!$E$1:$E$300,"Senior Person 4",'Salary &amp; Fringe'!$AF$1:$AF$300)</f>
        <v>0</v>
      </c>
      <c r="J8" s="247">
        <f>SUMIF('Salary &amp; Fringe'!$E$1:$E$300,"Senior Person 4",'Salary &amp; Fringe'!$AP$1:$AP$300)</f>
        <v>0</v>
      </c>
      <c r="K8" s="247">
        <f t="shared" si="4"/>
        <v>0</v>
      </c>
    </row>
    <row r="9" spans="1:11" s="217" customFormat="1" ht="15" x14ac:dyDescent="0.25">
      <c r="A9" s="222" t="str">
        <f>IF(B9&gt;0,(INDEX('Salary &amp; Fringe'!$A$1:$A$300,MATCH("Senior Person 5",'Salary &amp; Fringe'!$E$1:$E$300,FALSE),1)),"")</f>
        <v/>
      </c>
      <c r="B9" s="247">
        <f t="shared" si="0"/>
        <v>0</v>
      </c>
      <c r="C9" s="247">
        <f t="shared" si="1"/>
        <v>0</v>
      </c>
      <c r="D9" s="247">
        <f t="shared" si="2"/>
        <v>0</v>
      </c>
      <c r="E9" s="247">
        <f t="shared" si="3"/>
        <v>0</v>
      </c>
      <c r="F9" s="251">
        <f>SUMIFS('Salary &amp; Fringe'!$V$1:'Salary &amp; Fringe'!$V$300,'Salary &amp; Fringe'!$E$1:'Salary &amp; Fringe'!$E$300,"Senior Person 5",'Salary &amp; Fringe'!$F$1:'Salary &amp; Fringe'!$F$300,"Calendar*")</f>
        <v>0</v>
      </c>
      <c r="G9" s="251">
        <f>SUMIFS('Salary &amp; Fringe'!$V$1:'Salary &amp; Fringe'!$V$300,'Salary &amp; Fringe'!$E$1:'Salary &amp; Fringe'!$E$300,"Senior Person 5",'Salary &amp; Fringe'!$F$1:'Salary &amp; Fringe'!$F$300,"Academic")</f>
        <v>0</v>
      </c>
      <c r="H9" s="251">
        <f>SUMIFS('Salary &amp; Fringe'!$V$1:'Salary &amp; Fringe'!$V$300,'Salary &amp; Fringe'!$E$1:'Salary &amp; Fringe'!$E$300,"Senior Person 5",'Salary &amp; Fringe'!$F$1:'Salary &amp; Fringe'!$F$300,"Summer")</f>
        <v>0</v>
      </c>
      <c r="I9" s="247">
        <f>SUMIF('Salary &amp; Fringe'!$E$1:$E$300,"Senior Person 5",'Salary &amp; Fringe'!$AF$1:$AF$300)</f>
        <v>0</v>
      </c>
      <c r="J9" s="247">
        <f>SUMIF('Salary &amp; Fringe'!$E$1:$E$300,"Senior Person 5",'Salary &amp; Fringe'!$AP$1:$AP$300)</f>
        <v>0</v>
      </c>
      <c r="K9" s="247">
        <f t="shared" si="4"/>
        <v>0</v>
      </c>
    </row>
    <row r="10" spans="1:11" s="217" customFormat="1" thickBot="1" x14ac:dyDescent="0.3">
      <c r="A10" s="224"/>
      <c r="B10" s="241"/>
      <c r="C10" s="241"/>
      <c r="D10" s="241"/>
      <c r="E10" s="241"/>
      <c r="F10" s="583" t="s">
        <v>366</v>
      </c>
      <c r="G10" s="584"/>
      <c r="H10" s="585"/>
      <c r="I10" s="247">
        <f>SUMIF('Salary &amp; Fringe'!$E$1:$E$300,"Senior (Other)",'Salary &amp; Fringe'!$AF$1:$AF$300)</f>
        <v>0</v>
      </c>
      <c r="J10" s="247">
        <f>SUMIF('Salary &amp; Fringe'!$E$1:$E$300,"Senior (Other)",'Salary &amp; Fringe'!$AP$1:$AP$300)</f>
        <v>0</v>
      </c>
      <c r="K10" s="247">
        <f t="shared" si="4"/>
        <v>0</v>
      </c>
    </row>
    <row r="11" spans="1:11" s="217" customFormat="1" thickBot="1" x14ac:dyDescent="0.3">
      <c r="I11" s="583" t="s">
        <v>361</v>
      </c>
      <c r="J11" s="586"/>
      <c r="K11" s="235">
        <f>SUM(K5:K10)</f>
        <v>0</v>
      </c>
    </row>
    <row r="12" spans="1:11" x14ac:dyDescent="0.25">
      <c r="A12" s="126" t="s">
        <v>102</v>
      </c>
    </row>
    <row r="13" spans="1:11" s="221" customFormat="1" ht="15" x14ac:dyDescent="0.25">
      <c r="A13" s="223" t="s">
        <v>341</v>
      </c>
      <c r="B13" s="587" t="s">
        <v>342</v>
      </c>
      <c r="C13" s="587"/>
      <c r="D13" s="249" t="s">
        <v>343</v>
      </c>
      <c r="E13" s="249" t="s">
        <v>344</v>
      </c>
      <c r="F13" s="249" t="s">
        <v>345</v>
      </c>
      <c r="G13" s="587" t="s">
        <v>338</v>
      </c>
      <c r="H13" s="587"/>
      <c r="I13" s="587" t="s">
        <v>339</v>
      </c>
      <c r="J13" s="587"/>
      <c r="K13" s="249" t="s">
        <v>346</v>
      </c>
    </row>
    <row r="14" spans="1:11" s="217" customFormat="1" ht="15" x14ac:dyDescent="0.25">
      <c r="A14" s="239">
        <f>SUMIFS('Salary &amp; Fringe'!$I$1:$I$300,'Salary &amp; Fringe'!$E$1:$E$300,"Postdoc", 'Salary &amp; Fringe'!$V$1:'Salary &amp; Fringe'!$V$300, "&gt;0")</f>
        <v>0</v>
      </c>
      <c r="B14" s="580" t="s">
        <v>103</v>
      </c>
      <c r="C14" s="580"/>
      <c r="D14" s="251">
        <f>SUMIFS('Salary &amp; Fringe'!$V$1:'Salary &amp; Fringe'!$V$300,'Salary &amp; Fringe'!$E$1:'Salary &amp; Fringe'!$E$300,"Postdoc",'Salary &amp; Fringe'!$F$1:'Salary &amp; Fringe'!$F$300,"Calendar*")+SUMIFS('Salary &amp; Fringe'!$V$1:'Salary &amp; Fringe'!$V$300,'Salary &amp; Fringe'!$E$1:'Salary &amp; Fringe'!$E$300,"Postdoc",'Salary &amp; Fringe'!$F$1:'Salary &amp; Fringe'!$F$300,"Hourly")</f>
        <v>0</v>
      </c>
      <c r="E14" s="251">
        <f>SUMIFS('Salary &amp; Fringe'!$V$1:'Salary &amp; Fringe'!$V$300,'Salary &amp; Fringe'!$E$1:'Salary &amp; Fringe'!$E$300,"Postdoc",'Salary &amp; Fringe'!$F$1:'Salary &amp; Fringe'!$F$300,"Academic")</f>
        <v>0</v>
      </c>
      <c r="F14" s="251">
        <f>SUMIFS('Salary &amp; Fringe'!$V$1:'Salary &amp; Fringe'!$V$300,'Salary &amp; Fringe'!$E$1:'Salary &amp; Fringe'!$E$300,"Postdoc",'Salary &amp; Fringe'!$F$1:'Salary &amp; Fringe'!$F$300,"Summer")</f>
        <v>0</v>
      </c>
      <c r="G14" s="581">
        <f>SUMIF('Salary &amp; Fringe'!$E$1:$E$300,"Postdoc",'Salary &amp; Fringe'!$AF$1:$AF$300)</f>
        <v>0</v>
      </c>
      <c r="H14" s="582"/>
      <c r="I14" s="581">
        <f>SUMIF('Salary &amp; Fringe'!$E$1:$E$300,"Postdoc",'Salary &amp; Fringe'!$AP$1:$AP$300)</f>
        <v>0</v>
      </c>
      <c r="J14" s="582"/>
      <c r="K14" s="247">
        <f>G14+I14</f>
        <v>0</v>
      </c>
    </row>
    <row r="15" spans="1:11" s="217" customFormat="1" ht="15" x14ac:dyDescent="0.25">
      <c r="A15" s="243"/>
      <c r="B15" s="580" t="s">
        <v>105</v>
      </c>
      <c r="C15" s="580"/>
      <c r="D15" s="251">
        <f>SUMIFS('Salary &amp; Fringe'!$V$1:'Salary &amp; Fringe'!$V$300,'Salary &amp; Fringe'!$E$1:'Salary &amp; Fringe'!$E$300,"Grad",'Salary &amp; Fringe'!$F$1:'Salary &amp; Fringe'!$F$300,"Calendar*")+SUMIFS('Salary &amp; Fringe'!$V$1:'Salary &amp; Fringe'!$V$300,'Salary &amp; Fringe'!$E$1:'Salary &amp; Fringe'!$E$300,"Grad",'Salary &amp; Fringe'!$F$1:'Salary &amp; Fringe'!$F$300,"Hourly")</f>
        <v>0</v>
      </c>
      <c r="E15" s="251">
        <f>SUMIFS('Salary &amp; Fringe'!$V$1:'Salary &amp; Fringe'!$V$300,'Salary &amp; Fringe'!$E$1:'Salary &amp; Fringe'!$E$300,"Grad",'Salary &amp; Fringe'!$F$1:'Salary &amp; Fringe'!$F$300,"Academic")*2</f>
        <v>0</v>
      </c>
      <c r="F15" s="251">
        <f>SUMIFS('Salary &amp; Fringe'!$V$1:'Salary &amp; Fringe'!$V$300,'Salary &amp; Fringe'!$E$1:'Salary &amp; Fringe'!$E$300,"Grad",'Salary &amp; Fringe'!$F$1:'Salary &amp; Fringe'!$F$300,"Summer")*2</f>
        <v>0</v>
      </c>
      <c r="G15" s="588">
        <f>SUMIF('Salary &amp; Fringe'!$E$1:$E$300,"Grad",'Salary &amp; Fringe'!$AF$1:$AF$300)</f>
        <v>0</v>
      </c>
      <c r="H15" s="588"/>
      <c r="I15" s="588">
        <f>SUMIF('Salary &amp; Fringe'!$E$1:$E$300,"Grad",'Salary &amp; Fringe'!$AP$1:$AP$300)</f>
        <v>0</v>
      </c>
      <c r="J15" s="588"/>
      <c r="K15" s="247">
        <f t="shared" ref="K15:K23" si="5">G15+I15</f>
        <v>0</v>
      </c>
    </row>
    <row r="16" spans="1:11" s="217" customFormat="1" ht="15" x14ac:dyDescent="0.25">
      <c r="A16" s="243"/>
      <c r="B16" s="580" t="s">
        <v>367</v>
      </c>
      <c r="C16" s="580"/>
      <c r="D16" s="251">
        <f>SUMIF('Salary &amp; Fringe'!$E$1:$E$300,"Undergrad",'Salary &amp; Fringe'!$V$1:$V$300)</f>
        <v>0</v>
      </c>
      <c r="E16" s="251">
        <v>0</v>
      </c>
      <c r="F16" s="251">
        <v>0</v>
      </c>
      <c r="G16" s="588">
        <f>SUMIF('Salary &amp; Fringe'!$E$1:$E$300,"Undergrad",'Salary &amp; Fringe'!$AF$1:$AF$300)</f>
        <v>0</v>
      </c>
      <c r="H16" s="588"/>
      <c r="I16" s="588">
        <f>SUMIF('Salary &amp; Fringe'!$E$1:$E$300,"Undergrad",'Salary &amp; Fringe'!$AP$1:$AP$300)</f>
        <v>0</v>
      </c>
      <c r="J16" s="588"/>
      <c r="K16" s="247">
        <f t="shared" si="5"/>
        <v>0</v>
      </c>
    </row>
    <row r="17" spans="1:11" s="217" customFormat="1" ht="15" x14ac:dyDescent="0.25">
      <c r="A17" s="251">
        <f>SUMIFS('Salary &amp; Fringe'!$I$1:$I$300,'Salary &amp; Fringe'!$E$1:$E$300,"Clerical", 'Salary &amp; Fringe'!$V$1:'Salary &amp; Fringe'!$V$300, "&gt;0")</f>
        <v>0</v>
      </c>
      <c r="B17" s="580" t="s">
        <v>348</v>
      </c>
      <c r="C17" s="580"/>
      <c r="D17" s="251">
        <f>SUMIFS('Salary &amp; Fringe'!$V$1:'Salary &amp; Fringe'!$V$300,'Salary &amp; Fringe'!$E$1:'Salary &amp; Fringe'!$E$300,"Clerical",'Salary &amp; Fringe'!$F$1:'Salary &amp; Fringe'!$F$300,"Calendar*")+SUMIFS('Salary &amp; Fringe'!$V$1:'Salary &amp; Fringe'!$V$300,'Salary &amp; Fringe'!$E$1:'Salary &amp; Fringe'!$E$300,"Clerical",'Salary &amp; Fringe'!$F$1:'Salary &amp; Fringe'!$F$300,"Hourly")</f>
        <v>0</v>
      </c>
      <c r="E17" s="251">
        <f>SUMIFS('Salary &amp; Fringe'!$V$1:'Salary &amp; Fringe'!$V$300,'Salary &amp; Fringe'!$E$1:'Salary &amp; Fringe'!$E$300,"Clerical",'Salary &amp; Fringe'!$F$1:'Salary &amp; Fringe'!$F$300,"Academic")</f>
        <v>0</v>
      </c>
      <c r="F17" s="251">
        <f>SUMIFS('Salary &amp; Fringe'!$V$1:'Salary &amp; Fringe'!$V$300,'Salary &amp; Fringe'!$E$1:'Salary &amp; Fringe'!$E$300,"Clerical",'Salary &amp; Fringe'!$F$1:'Salary &amp; Fringe'!$F$300,"Summer")</f>
        <v>0</v>
      </c>
      <c r="G17" s="588">
        <f>SUMIF('Salary &amp; Fringe'!$E$1:$E$300,"Clerical",'Salary &amp; Fringe'!$AF$1:$AF$300)</f>
        <v>0</v>
      </c>
      <c r="H17" s="588"/>
      <c r="I17" s="588">
        <f>SUMIF('Salary &amp; Fringe'!$E$1:$E$300,"Clerical",'Salary &amp; Fringe'!$AP$1:$AP$300)</f>
        <v>0</v>
      </c>
      <c r="J17" s="588"/>
      <c r="K17" s="247">
        <f t="shared" si="5"/>
        <v>0</v>
      </c>
    </row>
    <row r="18" spans="1:11" s="217" customFormat="1" ht="15" x14ac:dyDescent="0.25">
      <c r="A18" s="251">
        <f>SUMIFS('Salary &amp; Fringe'!$I$1:$I$300,'Salary &amp; Fringe'!$E$1:$E$300,"Other 1", 'Salary &amp; Fringe'!$V$1:'Salary &amp; Fringe'!$V$300, "&gt;0")</f>
        <v>0</v>
      </c>
      <c r="B18" s="580" t="str">
        <f>IF(G18&gt;0,(INDEX('Salary &amp; Fringe'!$B$1:$B$300,MATCH("Other 1",'Salary &amp; Fringe'!$E$1:$E$300,FALSE),1)),"")</f>
        <v/>
      </c>
      <c r="C18" s="580"/>
      <c r="D18" s="251">
        <f>SUMIFS('Salary &amp; Fringe'!$V$1:'Salary &amp; Fringe'!$V$300,'Salary &amp; Fringe'!$E$1:'Salary &amp; Fringe'!$E$300,"Other 1",'Salary &amp; Fringe'!$F$1:'Salary &amp; Fringe'!$F$300,"Calendar*")+SUMIFS('Salary &amp; Fringe'!$V$1:'Salary &amp; Fringe'!$V$300,'Salary &amp; Fringe'!$E$1:'Salary &amp; Fringe'!$E$300,"Other 1",'Salary &amp; Fringe'!$F$1:'Salary &amp; Fringe'!$F$300,"Hourly")</f>
        <v>0</v>
      </c>
      <c r="E18" s="251">
        <f>SUMIFS('Salary &amp; Fringe'!$V$1:'Salary &amp; Fringe'!$V$300,'Salary &amp; Fringe'!$E$1:'Salary &amp; Fringe'!$E$300,"Other 1",'Salary &amp; Fringe'!$F$1:'Salary &amp; Fringe'!$F$300,"Academic")</f>
        <v>0</v>
      </c>
      <c r="F18" s="251">
        <f>SUMIFS('Salary &amp; Fringe'!$V$1:'Salary &amp; Fringe'!$V$300,'Salary &amp; Fringe'!$E$1:'Salary &amp; Fringe'!$E$300,"Other 1",'Salary &amp; Fringe'!$F$1:'Salary &amp; Fringe'!$F$300,"Summer")</f>
        <v>0</v>
      </c>
      <c r="G18" s="588">
        <f>SUMIF('Salary &amp; Fringe'!$E$1:$E$300,"Other 1",'Salary &amp; Fringe'!$AF$1:$AF$300)</f>
        <v>0</v>
      </c>
      <c r="H18" s="588"/>
      <c r="I18" s="588">
        <f>SUMIF('Salary &amp; Fringe'!$E$1:$E$300,"Other 1",'Salary &amp; Fringe'!$AP$1:$AP$300)</f>
        <v>0</v>
      </c>
      <c r="J18" s="588"/>
      <c r="K18" s="247">
        <f t="shared" si="5"/>
        <v>0</v>
      </c>
    </row>
    <row r="19" spans="1:11" s="217" customFormat="1" ht="15" x14ac:dyDescent="0.25">
      <c r="A19" s="251">
        <f>SUMIFS('Salary &amp; Fringe'!$I$1:$I$300,'Salary &amp; Fringe'!$E$1:$E$300,"Other 2", 'Salary &amp; Fringe'!$V$1:'Salary &amp; Fringe'!$V$300, "&gt;0")</f>
        <v>0</v>
      </c>
      <c r="B19" s="580" t="str">
        <f>IF(G19&gt;0,(INDEX('Salary &amp; Fringe'!$B$1:$B$300,MATCH("Other 2",'Salary &amp; Fringe'!$E$1:$E$300,FALSE),1)),"")</f>
        <v/>
      </c>
      <c r="C19" s="580"/>
      <c r="D19" s="251">
        <f>SUMIFS('Salary &amp; Fringe'!$V$1:'Salary &amp; Fringe'!$V$300,'Salary &amp; Fringe'!$E$1:'Salary &amp; Fringe'!$E$300,"Other 2",'Salary &amp; Fringe'!$F$1:'Salary &amp; Fringe'!$F$300,"Calendar*")+SUMIFS('Salary &amp; Fringe'!$V$1:'Salary &amp; Fringe'!$V$300,'Salary &amp; Fringe'!$E$1:'Salary &amp; Fringe'!$E$300,"Other 2",'Salary &amp; Fringe'!$F$1:'Salary &amp; Fringe'!$F$300,"Hourly")</f>
        <v>0</v>
      </c>
      <c r="E19" s="251">
        <f>SUMIFS('Salary &amp; Fringe'!$V$1:'Salary &amp; Fringe'!$V$300,'Salary &amp; Fringe'!$E$1:'Salary &amp; Fringe'!$E$300,"Other 2",'Salary &amp; Fringe'!$F$1:'Salary &amp; Fringe'!$F$300,"Academic")</f>
        <v>0</v>
      </c>
      <c r="F19" s="251">
        <f>SUMIFS('Salary &amp; Fringe'!$V$1:'Salary &amp; Fringe'!$V$300,'Salary &amp; Fringe'!$E$1:'Salary &amp; Fringe'!$E$300,"Other 2",'Salary &amp; Fringe'!$F$1:'Salary &amp; Fringe'!$F$300,"Summer")</f>
        <v>0</v>
      </c>
      <c r="G19" s="588">
        <f>SUMIF('Salary &amp; Fringe'!$E$1:$E$300,"Other 2",'Salary &amp; Fringe'!$AF$1:$AF$300)</f>
        <v>0</v>
      </c>
      <c r="H19" s="588"/>
      <c r="I19" s="588">
        <f>SUMIF('Salary &amp; Fringe'!$E$1:$E$300,"Other 2",'Salary &amp; Fringe'!$AP$1:$AP$300)</f>
        <v>0</v>
      </c>
      <c r="J19" s="588"/>
      <c r="K19" s="247">
        <f t="shared" si="5"/>
        <v>0</v>
      </c>
    </row>
    <row r="20" spans="1:11" s="217" customFormat="1" ht="15" x14ac:dyDescent="0.25">
      <c r="A20" s="251">
        <f>SUMIFS('Salary &amp; Fringe'!$I$1:$I$300,'Salary &amp; Fringe'!$E$1:$E$300,"Other 3", 'Salary &amp; Fringe'!$V$1:'Salary &amp; Fringe'!$V$300, "&gt;0")</f>
        <v>0</v>
      </c>
      <c r="B20" s="580" t="str">
        <f>IF(G20&gt;0,(INDEX('Salary &amp; Fringe'!$B$1:$B$300,MATCH("Other 3",'Salary &amp; Fringe'!$E$1:$E$300,FALSE),1)),"")</f>
        <v/>
      </c>
      <c r="C20" s="580"/>
      <c r="D20" s="251">
        <f>SUMIFS('Salary &amp; Fringe'!$V$1:'Salary &amp; Fringe'!$V$300,'Salary &amp; Fringe'!$E$1:'Salary &amp; Fringe'!$E$300,"Other 3",'Salary &amp; Fringe'!$F$1:'Salary &amp; Fringe'!$F$300,"Calendar*")+SUMIFS('Salary &amp; Fringe'!$V$1:'Salary &amp; Fringe'!$V$300,'Salary &amp; Fringe'!$E$1:'Salary &amp; Fringe'!$E$300,"Other 3",'Salary &amp; Fringe'!$F$1:'Salary &amp; Fringe'!$F$300,"Hourly")</f>
        <v>0</v>
      </c>
      <c r="E20" s="251">
        <f>SUMIFS('Salary &amp; Fringe'!$V$1:'Salary &amp; Fringe'!$V$300,'Salary &amp; Fringe'!$E$1:'Salary &amp; Fringe'!$E$300,"Other 3",'Salary &amp; Fringe'!$F$1:'Salary &amp; Fringe'!$F$300,"Academic")</f>
        <v>0</v>
      </c>
      <c r="F20" s="251">
        <f>SUMIFS('Salary &amp; Fringe'!$V$1:'Salary &amp; Fringe'!$V$300,'Salary &amp; Fringe'!$E$1:'Salary &amp; Fringe'!$E$300,"Other 3",'Salary &amp; Fringe'!$F$1:'Salary &amp; Fringe'!$F$300,"Summer")</f>
        <v>0</v>
      </c>
      <c r="G20" s="588">
        <f>SUMIF('Salary &amp; Fringe'!$E$1:$E$300,"Other 3",'Salary &amp; Fringe'!$AF$1:$AF$300)</f>
        <v>0</v>
      </c>
      <c r="H20" s="588"/>
      <c r="I20" s="588">
        <f>SUMIF('Salary &amp; Fringe'!$E$1:$E$300,"Other 3",'Salary &amp; Fringe'!$AP$1:$AP$300)</f>
        <v>0</v>
      </c>
      <c r="J20" s="588"/>
      <c r="K20" s="247">
        <f t="shared" si="5"/>
        <v>0</v>
      </c>
    </row>
    <row r="21" spans="1:11" s="217" customFormat="1" ht="15" x14ac:dyDescent="0.25">
      <c r="A21" s="251">
        <f>SUMIFS('Salary &amp; Fringe'!$I$1:$I$300,'Salary &amp; Fringe'!$E$1:$E$300,"Other 4", 'Salary &amp; Fringe'!$V$1:'Salary &amp; Fringe'!$V$300, "&gt;0")</f>
        <v>0</v>
      </c>
      <c r="B21" s="580" t="str">
        <f>IF(G21&gt;0,(INDEX('Salary &amp; Fringe'!$B$1:$B$300,MATCH("Other 4",'Salary &amp; Fringe'!$E$1:$E$300,FALSE),1)),"")</f>
        <v/>
      </c>
      <c r="C21" s="580"/>
      <c r="D21" s="251">
        <f>SUMIFS('Salary &amp; Fringe'!$V$1:'Salary &amp; Fringe'!$V$300,'Salary &amp; Fringe'!$E$1:'Salary &amp; Fringe'!$E$300,"Other 4",'Salary &amp; Fringe'!$F$1:'Salary &amp; Fringe'!$F$300,"Calendar*")+SUMIFS('Salary &amp; Fringe'!$V$1:'Salary &amp; Fringe'!$V$300,'Salary &amp; Fringe'!$E$1:'Salary &amp; Fringe'!$E$300,"Other 4",'Salary &amp; Fringe'!$F$1:'Salary &amp; Fringe'!$F$300,"Hourly")</f>
        <v>0</v>
      </c>
      <c r="E21" s="251">
        <f>SUMIFS('Salary &amp; Fringe'!$V$1:'Salary &amp; Fringe'!$V$300,'Salary &amp; Fringe'!$E$1:'Salary &amp; Fringe'!$E$300,"Other 4",'Salary &amp; Fringe'!$F$1:'Salary &amp; Fringe'!$F$300,"Academic")</f>
        <v>0</v>
      </c>
      <c r="F21" s="251">
        <f>SUMIFS('Salary &amp; Fringe'!$V$1:'Salary &amp; Fringe'!$V$300,'Salary &amp; Fringe'!$E$1:'Salary &amp; Fringe'!$E$300,"Other 4",'Salary &amp; Fringe'!$F$1:'Salary &amp; Fringe'!$F$300,"Summer")</f>
        <v>0</v>
      </c>
      <c r="G21" s="588">
        <f>SUMIF('Salary &amp; Fringe'!$E$1:$E$300,"Other 4",'Salary &amp; Fringe'!$AF$1:$AF$300)</f>
        <v>0</v>
      </c>
      <c r="H21" s="588"/>
      <c r="I21" s="588">
        <f>SUMIF('Salary &amp; Fringe'!$E$1:$E$300,"Other 4",'Salary &amp; Fringe'!$AP$1:$AP$300)</f>
        <v>0</v>
      </c>
      <c r="J21" s="588"/>
      <c r="K21" s="247">
        <f t="shared" si="5"/>
        <v>0</v>
      </c>
    </row>
    <row r="22" spans="1:11" s="217" customFormat="1" ht="15" x14ac:dyDescent="0.25">
      <c r="A22" s="251">
        <f>SUMIFS('Salary &amp; Fringe'!$I$1:$I$300,'Salary &amp; Fringe'!$E$1:$E$300,"Other 5", 'Salary &amp; Fringe'!$V$1:'Salary &amp; Fringe'!$V$300, "&gt;0")</f>
        <v>0</v>
      </c>
      <c r="B22" s="580" t="str">
        <f>IF(G22&gt;0,(INDEX('Salary &amp; Fringe'!$B$1:$B$300,MATCH("Other 5",'Salary &amp; Fringe'!$E$1:$E$300,FALSE),1)),"")</f>
        <v/>
      </c>
      <c r="C22" s="580"/>
      <c r="D22" s="251">
        <f>SUMIFS('Salary &amp; Fringe'!$V$1:'Salary &amp; Fringe'!$V$300,'Salary &amp; Fringe'!$E$1:'Salary &amp; Fringe'!$E$300,"Other 5",'Salary &amp; Fringe'!$F$1:'Salary &amp; Fringe'!$F$300,"Calendar*")+SUMIFS('Salary &amp; Fringe'!$V$1:'Salary &amp; Fringe'!$V$300,'Salary &amp; Fringe'!$E$1:'Salary &amp; Fringe'!$E$300,"Other 5",'Salary &amp; Fringe'!$F$1:'Salary &amp; Fringe'!$F$300,"Hourly")</f>
        <v>0</v>
      </c>
      <c r="E22" s="251">
        <f>SUMIFS('Salary &amp; Fringe'!$V$1:'Salary &amp; Fringe'!$V$300,'Salary &amp; Fringe'!$E$1:'Salary &amp; Fringe'!$E$300,"Other 5",'Salary &amp; Fringe'!$F$1:'Salary &amp; Fringe'!$F$300,"Academic")</f>
        <v>0</v>
      </c>
      <c r="F22" s="251">
        <f>SUMIFS('Salary &amp; Fringe'!$V$1:'Salary &amp; Fringe'!$V$300,'Salary &amp; Fringe'!$E$1:'Salary &amp; Fringe'!$E$300,"Other 5",'Salary &amp; Fringe'!$F$1:'Salary &amp; Fringe'!$F$300,"Summer")</f>
        <v>0</v>
      </c>
      <c r="G22" s="588">
        <f>SUMIF('Salary &amp; Fringe'!$E$1:$E$300,"Other 5",'Salary &amp; Fringe'!$AF$1:$AF$300)</f>
        <v>0</v>
      </c>
      <c r="H22" s="588"/>
      <c r="I22" s="588">
        <f>SUMIF('Salary &amp; Fringe'!$E$1:$E$300,"Other 5",'Salary &amp; Fringe'!$AP$1:$AP$300)</f>
        <v>0</v>
      </c>
      <c r="J22" s="588"/>
      <c r="K22" s="247">
        <f t="shared" si="5"/>
        <v>0</v>
      </c>
    </row>
    <row r="23" spans="1:11" s="217" customFormat="1" thickBot="1" x14ac:dyDescent="0.3">
      <c r="A23" s="234">
        <f>SUMIFS('Salary &amp; Fringe'!$I$1:$I$300,'Salary &amp; Fringe'!$E$1:$E$300,"Other 6", 'Salary &amp; Fringe'!$V$1:'Salary &amp; Fringe'!$V$300, "&gt;0")</f>
        <v>0</v>
      </c>
      <c r="B23" s="580" t="str">
        <f>IF(G23&gt;0,(INDEX('Salary &amp; Fringe'!$B$1:$B$300,MATCH("Other 6",'Salary &amp; Fringe'!$E$1:$E$300,FALSE),1)),"")</f>
        <v/>
      </c>
      <c r="C23" s="580"/>
      <c r="D23" s="251">
        <f>SUMIFS('Salary &amp; Fringe'!$V$1:'Salary &amp; Fringe'!$V$300,'Salary &amp; Fringe'!$E$1:'Salary &amp; Fringe'!$E$300,"Other 6",'Salary &amp; Fringe'!$F$1:'Salary &amp; Fringe'!$F$300,"Calendar*")+SUMIFS('Salary &amp; Fringe'!$V$1:'Salary &amp; Fringe'!$V$300,'Salary &amp; Fringe'!$E$1:'Salary &amp; Fringe'!$E$300,"Other 6",'Salary &amp; Fringe'!$F$1:'Salary &amp; Fringe'!$F$300,"Hourly")</f>
        <v>0</v>
      </c>
      <c r="E23" s="251">
        <f>SUMIFS('Salary &amp; Fringe'!$V$1:'Salary &amp; Fringe'!$V$300,'Salary &amp; Fringe'!$E$1:'Salary &amp; Fringe'!$E$300,"Other 6",'Salary &amp; Fringe'!$F$1:'Salary &amp; Fringe'!$F$300,"Academic")</f>
        <v>0</v>
      </c>
      <c r="F23" s="251">
        <f>SUMIFS('Salary &amp; Fringe'!$V$1:'Salary &amp; Fringe'!$V$300,'Salary &amp; Fringe'!$E$1:'Salary &amp; Fringe'!$E$300,"Other 6",'Salary &amp; Fringe'!$F$1:'Salary &amp; Fringe'!$F$300,"Summer")</f>
        <v>0</v>
      </c>
      <c r="G23" s="588">
        <f>SUMIF('Salary &amp; Fringe'!$E$1:$E$300,"Other 6",'Salary &amp; Fringe'!$AF$1:$AF$300)</f>
        <v>0</v>
      </c>
      <c r="H23" s="588"/>
      <c r="I23" s="588">
        <f>SUMIF('Salary &amp; Fringe'!$E$1:$E$300,"Other 6",'Salary &amp; Fringe'!$AP$1:$AP$300)</f>
        <v>0</v>
      </c>
      <c r="J23" s="588"/>
      <c r="K23" s="247">
        <f t="shared" si="5"/>
        <v>0</v>
      </c>
    </row>
    <row r="24" spans="1:11" s="218" customFormat="1" thickBot="1" x14ac:dyDescent="0.3">
      <c r="A24" s="237">
        <f>SUM(A14:A23)</f>
        <v>0</v>
      </c>
      <c r="B24" s="589" t="s">
        <v>376</v>
      </c>
      <c r="C24" s="590"/>
      <c r="D24" s="591"/>
      <c r="H24" s="583" t="s">
        <v>349</v>
      </c>
      <c r="I24" s="584"/>
      <c r="J24" s="585"/>
      <c r="K24" s="240">
        <f>SUM(K14:K23)</f>
        <v>0</v>
      </c>
    </row>
    <row r="25" spans="1:11" s="217" customFormat="1" thickBot="1" x14ac:dyDescent="0.3">
      <c r="A25" s="224"/>
      <c r="H25" s="583" t="s">
        <v>310</v>
      </c>
      <c r="I25" s="584"/>
      <c r="J25" s="585"/>
      <c r="K25" s="235">
        <f>K11+K24</f>
        <v>0</v>
      </c>
    </row>
    <row r="26" spans="1:11" x14ac:dyDescent="0.25">
      <c r="A26" s="126" t="s">
        <v>298</v>
      </c>
    </row>
    <row r="27" spans="1:11" x14ac:dyDescent="0.25">
      <c r="A27" s="593" t="s">
        <v>350</v>
      </c>
      <c r="B27" s="593"/>
      <c r="C27" s="593"/>
      <c r="D27" s="593"/>
      <c r="E27" s="593"/>
      <c r="F27" s="593"/>
      <c r="G27" s="593"/>
      <c r="H27" s="593"/>
      <c r="I27" s="593"/>
      <c r="J27" s="593"/>
      <c r="K27" s="249" t="s">
        <v>346</v>
      </c>
    </row>
    <row r="28" spans="1:11" s="217" customFormat="1" ht="15" x14ac:dyDescent="0.25">
      <c r="A28" s="592" t="str">
        <f>IF(ISBLANK(Budget!X47),"",Budget!A47)</f>
        <v/>
      </c>
      <c r="B28" s="592"/>
      <c r="C28" s="592"/>
      <c r="D28" s="592"/>
      <c r="E28" s="592"/>
      <c r="F28" s="592"/>
      <c r="G28" s="592"/>
      <c r="H28" s="592"/>
      <c r="I28" s="592"/>
      <c r="J28" s="592"/>
      <c r="K28" s="247">
        <f>IF(Budget!X47&gt;0,Budget!X47,0)</f>
        <v>0</v>
      </c>
    </row>
    <row r="29" spans="1:11" s="217" customFormat="1" ht="15" x14ac:dyDescent="0.25">
      <c r="A29" s="592" t="str">
        <f>IF(ISBLANK(Budget!X48),"",Budget!A48)</f>
        <v/>
      </c>
      <c r="B29" s="592"/>
      <c r="C29" s="592"/>
      <c r="D29" s="592"/>
      <c r="E29" s="592"/>
      <c r="F29" s="592"/>
      <c r="G29" s="592"/>
      <c r="H29" s="592"/>
      <c r="I29" s="592"/>
      <c r="J29" s="592"/>
      <c r="K29" s="247">
        <f>IF(Budget!X48&gt;0,Budget!X48,0)</f>
        <v>0</v>
      </c>
    </row>
    <row r="30" spans="1:11" s="217" customFormat="1" ht="15" x14ac:dyDescent="0.25">
      <c r="A30" s="592" t="str">
        <f>IF(ISBLANK(Budget!X49),"",Budget!A49)</f>
        <v/>
      </c>
      <c r="B30" s="592"/>
      <c r="C30" s="592"/>
      <c r="D30" s="592"/>
      <c r="E30" s="592"/>
      <c r="F30" s="592"/>
      <c r="G30" s="592"/>
      <c r="H30" s="592"/>
      <c r="I30" s="592"/>
      <c r="J30" s="592"/>
      <c r="K30" s="247">
        <f>IF(Budget!X49&gt;0,Budget!X49,0)</f>
        <v>0</v>
      </c>
    </row>
    <row r="31" spans="1:11" s="217" customFormat="1" ht="15" x14ac:dyDescent="0.25">
      <c r="A31" s="592" t="str">
        <f>IF(ISBLANK(Budget!X50),"",Budget!A50)</f>
        <v/>
      </c>
      <c r="B31" s="592"/>
      <c r="C31" s="592"/>
      <c r="D31" s="592"/>
      <c r="E31" s="592"/>
      <c r="F31" s="592"/>
      <c r="G31" s="592"/>
      <c r="H31" s="592"/>
      <c r="I31" s="592"/>
      <c r="J31" s="592"/>
      <c r="K31" s="247">
        <f>IF(Budget!X50&gt;0,Budget!X50,0)</f>
        <v>0</v>
      </c>
    </row>
    <row r="32" spans="1:11" s="217" customFormat="1" thickBot="1" x14ac:dyDescent="0.3">
      <c r="A32" s="592" t="str">
        <f>IF(ISBLANK(Budget!X51),"",Budget!A51)</f>
        <v/>
      </c>
      <c r="B32" s="592"/>
      <c r="C32" s="592"/>
      <c r="D32" s="592"/>
      <c r="E32" s="592"/>
      <c r="F32" s="592"/>
      <c r="G32" s="592"/>
      <c r="H32" s="592"/>
      <c r="I32" s="592"/>
      <c r="J32" s="592"/>
      <c r="K32" s="247">
        <f>IF(Budget!X51&gt;0,Budget!X51,0)</f>
        <v>0</v>
      </c>
    </row>
    <row r="33" spans="1:12" s="217" customFormat="1" thickBot="1" x14ac:dyDescent="0.3">
      <c r="J33" s="225" t="s">
        <v>58</v>
      </c>
      <c r="K33" s="235">
        <f>TotalEquipment10</f>
        <v>0</v>
      </c>
    </row>
    <row r="34" spans="1:12" s="217" customFormat="1" ht="15" x14ac:dyDescent="0.25">
      <c r="J34" s="226"/>
      <c r="K34" s="227"/>
    </row>
    <row r="35" spans="1:12" x14ac:dyDescent="0.25">
      <c r="A35" s="228" t="s">
        <v>299</v>
      </c>
      <c r="B35" s="228"/>
      <c r="C35" s="228"/>
      <c r="D35" s="228"/>
      <c r="E35" s="228"/>
      <c r="F35" s="228"/>
      <c r="G35" s="228"/>
      <c r="H35" s="228"/>
      <c r="I35" s="228"/>
      <c r="J35" s="229"/>
      <c r="K35" s="249" t="s">
        <v>346</v>
      </c>
      <c r="L35" s="221"/>
    </row>
    <row r="36" spans="1:12" s="217" customFormat="1" ht="15" x14ac:dyDescent="0.25">
      <c r="A36" s="594" t="s">
        <v>351</v>
      </c>
      <c r="B36" s="595"/>
      <c r="C36" s="595"/>
      <c r="D36" s="595"/>
      <c r="E36" s="595"/>
      <c r="F36" s="595"/>
      <c r="G36" s="595"/>
      <c r="H36" s="595"/>
      <c r="I36" s="595"/>
      <c r="J36" s="596"/>
      <c r="K36" s="238">
        <f>Budget!X39</f>
        <v>0</v>
      </c>
    </row>
    <row r="37" spans="1:12" s="217" customFormat="1" thickBot="1" x14ac:dyDescent="0.3">
      <c r="A37" s="594" t="s">
        <v>352</v>
      </c>
      <c r="B37" s="595"/>
      <c r="C37" s="595"/>
      <c r="D37" s="595"/>
      <c r="E37" s="595"/>
      <c r="F37" s="595"/>
      <c r="G37" s="595"/>
      <c r="H37" s="595"/>
      <c r="I37" s="595"/>
      <c r="J37" s="596"/>
      <c r="K37" s="238">
        <f>Budget!X44</f>
        <v>0</v>
      </c>
    </row>
    <row r="38" spans="1:12" s="217" customFormat="1" thickBot="1" x14ac:dyDescent="0.3">
      <c r="C38" s="597"/>
      <c r="D38" s="597"/>
      <c r="J38" s="248" t="s">
        <v>353</v>
      </c>
      <c r="K38" s="235">
        <f>SUM(K36:K37)</f>
        <v>0</v>
      </c>
    </row>
    <row r="39" spans="1:12" s="217" customFormat="1" ht="15" x14ac:dyDescent="0.25">
      <c r="K39" s="252"/>
    </row>
    <row r="40" spans="1:12" x14ac:dyDescent="0.25">
      <c r="A40" s="228" t="s">
        <v>300</v>
      </c>
      <c r="B40" s="228"/>
      <c r="C40" s="228"/>
      <c r="D40" s="228"/>
      <c r="E40" s="228"/>
      <c r="F40" s="228"/>
      <c r="G40" s="228"/>
      <c r="H40" s="228"/>
      <c r="I40" s="228"/>
      <c r="J40" s="229"/>
      <c r="K40" s="249" t="s">
        <v>346</v>
      </c>
      <c r="L40" s="221"/>
    </row>
    <row r="41" spans="1:12" s="217" customFormat="1" ht="15" x14ac:dyDescent="0.25">
      <c r="A41" s="592" t="s">
        <v>315</v>
      </c>
      <c r="B41" s="592"/>
      <c r="C41" s="592"/>
      <c r="D41" s="592"/>
      <c r="E41" s="592"/>
      <c r="F41" s="592"/>
      <c r="G41" s="592"/>
      <c r="H41" s="592"/>
      <c r="I41" s="592"/>
      <c r="J41" s="592"/>
      <c r="K41" s="247">
        <f>SUMIF(Budget!$A$2:$A$504,"PS Tuition/Fees/Health Insurance",Budget!$X$2:$X$504)</f>
        <v>0</v>
      </c>
    </row>
    <row r="42" spans="1:12" s="217" customFormat="1" ht="15" x14ac:dyDescent="0.25">
      <c r="A42" s="592" t="s">
        <v>316</v>
      </c>
      <c r="B42" s="592"/>
      <c r="C42" s="592"/>
      <c r="D42" s="592"/>
      <c r="E42" s="592"/>
      <c r="F42" s="592"/>
      <c r="G42" s="592"/>
      <c r="H42" s="592"/>
      <c r="I42" s="592"/>
      <c r="J42" s="592"/>
      <c r="K42" s="247">
        <f>SUMIF(Budget!$A$2:$A$504,"PS Stipends",Budget!$X$2:$X$504)</f>
        <v>0</v>
      </c>
    </row>
    <row r="43" spans="1:12" s="217" customFormat="1" ht="15" x14ac:dyDescent="0.25">
      <c r="A43" s="592" t="s">
        <v>317</v>
      </c>
      <c r="B43" s="592"/>
      <c r="C43" s="592"/>
      <c r="D43" s="592"/>
      <c r="E43" s="592"/>
      <c r="F43" s="592"/>
      <c r="G43" s="592"/>
      <c r="H43" s="592"/>
      <c r="I43" s="592"/>
      <c r="J43" s="592"/>
      <c r="K43" s="247">
        <f>SUMIF(Budget!$A$2:$A$504,"PS Travel",Budget!$X$2:$X$504)</f>
        <v>0</v>
      </c>
    </row>
    <row r="44" spans="1:12" s="217" customFormat="1" ht="15" x14ac:dyDescent="0.25">
      <c r="A44" s="592" t="s">
        <v>318</v>
      </c>
      <c r="B44" s="592"/>
      <c r="C44" s="592"/>
      <c r="D44" s="592"/>
      <c r="E44" s="592"/>
      <c r="F44" s="592"/>
      <c r="G44" s="592"/>
      <c r="H44" s="592"/>
      <c r="I44" s="592"/>
      <c r="J44" s="592"/>
      <c r="K44" s="247">
        <f>SUMIF(Budget!$A$2:$A$504,"PS Subsistence",Budget!$X$2:$X$504)</f>
        <v>0</v>
      </c>
    </row>
    <row r="45" spans="1:12" s="217" customFormat="1" thickBot="1" x14ac:dyDescent="0.3">
      <c r="A45" s="592" t="s">
        <v>319</v>
      </c>
      <c r="B45" s="599"/>
      <c r="C45" s="592"/>
      <c r="D45" s="592"/>
      <c r="E45" s="592"/>
      <c r="F45" s="592"/>
      <c r="G45" s="592"/>
      <c r="H45" s="592"/>
      <c r="I45" s="592"/>
      <c r="J45" s="592"/>
      <c r="K45" s="236">
        <f>SUMIF(Budget!$A$2:$A$504,"PS Other",Budget!$X$2:$X$504)</f>
        <v>0</v>
      </c>
    </row>
    <row r="46" spans="1:12" s="217" customFormat="1" thickBot="1" x14ac:dyDescent="0.3">
      <c r="A46" s="231" t="s">
        <v>354</v>
      </c>
      <c r="B46" s="244"/>
      <c r="C46" s="220"/>
      <c r="D46" s="220"/>
      <c r="H46" s="600" t="s">
        <v>355</v>
      </c>
      <c r="I46" s="600"/>
      <c r="J46" s="583"/>
      <c r="K46" s="235">
        <f>SUM(K41:K45)</f>
        <v>0</v>
      </c>
    </row>
    <row r="47" spans="1:12" s="217" customFormat="1" ht="15" customHeight="1" x14ac:dyDescent="0.25">
      <c r="C47" s="597"/>
      <c r="D47" s="597"/>
      <c r="K47" s="221"/>
    </row>
    <row r="48" spans="1:12" x14ac:dyDescent="0.25">
      <c r="A48" s="126" t="s">
        <v>301</v>
      </c>
      <c r="K48" s="230" t="s">
        <v>346</v>
      </c>
    </row>
    <row r="49" spans="1:12" s="217" customFormat="1" ht="15" x14ac:dyDescent="0.25">
      <c r="A49" s="601" t="s">
        <v>120</v>
      </c>
      <c r="B49" s="601"/>
      <c r="C49" s="601"/>
      <c r="D49" s="601"/>
      <c r="E49" s="601"/>
      <c r="F49" s="601"/>
      <c r="G49" s="601"/>
      <c r="H49" s="601"/>
      <c r="I49" s="601"/>
      <c r="J49" s="601"/>
      <c r="K49" s="247">
        <f>SUMIF(Budget!$A$2:$A$504,"Materials &amp; Supplies",Budget!$X$2:$X$504)</f>
        <v>0</v>
      </c>
    </row>
    <row r="50" spans="1:12" s="217" customFormat="1" ht="15" x14ac:dyDescent="0.25">
      <c r="A50" s="601" t="s">
        <v>322</v>
      </c>
      <c r="B50" s="601"/>
      <c r="C50" s="601"/>
      <c r="D50" s="601"/>
      <c r="E50" s="601"/>
      <c r="F50" s="601"/>
      <c r="G50" s="601"/>
      <c r="H50" s="601"/>
      <c r="I50" s="601"/>
      <c r="J50" s="601"/>
      <c r="K50" s="247">
        <f>SUMIF(Budget!$A$2:$A$504,"Publication Costs/Page Charges",Budget!$X$2:$X$504)</f>
        <v>0</v>
      </c>
    </row>
    <row r="51" spans="1:12" s="217" customFormat="1" ht="15" x14ac:dyDescent="0.25">
      <c r="A51" s="601" t="s">
        <v>122</v>
      </c>
      <c r="B51" s="601"/>
      <c r="C51" s="601"/>
      <c r="D51" s="601"/>
      <c r="E51" s="601"/>
      <c r="F51" s="601"/>
      <c r="G51" s="601"/>
      <c r="H51" s="601"/>
      <c r="I51" s="601"/>
      <c r="J51" s="601"/>
      <c r="K51" s="247">
        <f>SUMIF(Budget!$A$2:$A$504,"Consultant Services",Budget!$X$2:$X$504)</f>
        <v>0</v>
      </c>
    </row>
    <row r="52" spans="1:12" s="217" customFormat="1" ht="15" x14ac:dyDescent="0.25">
      <c r="A52" s="601" t="s">
        <v>323</v>
      </c>
      <c r="B52" s="601"/>
      <c r="C52" s="601"/>
      <c r="D52" s="601"/>
      <c r="E52" s="601"/>
      <c r="F52" s="601"/>
      <c r="G52" s="601"/>
      <c r="H52" s="601"/>
      <c r="I52" s="601"/>
      <c r="J52" s="601"/>
      <c r="K52" s="247">
        <f>SUMIF(Budget!$A$2:$A$504,"Computer (ADPE) Services",Budget!$X$2:$X$504)</f>
        <v>0</v>
      </c>
    </row>
    <row r="53" spans="1:12" s="217" customFormat="1" ht="15" x14ac:dyDescent="0.25">
      <c r="A53" s="601" t="s">
        <v>360</v>
      </c>
      <c r="B53" s="601"/>
      <c r="C53" s="601"/>
      <c r="D53" s="601"/>
      <c r="E53" s="601"/>
      <c r="F53" s="601"/>
      <c r="G53" s="601"/>
      <c r="H53" s="601"/>
      <c r="I53" s="601"/>
      <c r="J53" s="601"/>
      <c r="K53" s="247">
        <f ca="1">TotalSubs10+TotalMulti10+SUMIF(Budget!$A$2:$A$504,"Vendor Contract",Budget!$X$2:$X$504)+SUMIF(Budget!$A$2:$A$504,"Service Agreement",Budget!$X$2:$X$504)</f>
        <v>0</v>
      </c>
    </row>
    <row r="54" spans="1:12" s="217" customFormat="1" x14ac:dyDescent="0.25">
      <c r="A54" s="601" t="s">
        <v>325</v>
      </c>
      <c r="B54" s="601"/>
      <c r="C54" s="601"/>
      <c r="D54" s="601"/>
      <c r="E54" s="601"/>
      <c r="F54" s="601"/>
      <c r="G54" s="601"/>
      <c r="H54" s="601"/>
      <c r="I54" s="601"/>
      <c r="J54" s="601"/>
      <c r="K54" s="242">
        <f>SUMIF(Budget!$A$2:$A$504,"Other Rentals",Budget!$X$2:$X$504)+SUMIF(Budget!$A$2:$A$504,"Space Rentals",Budget!$X$2:$X$504)+SUMIF(Budget!$A$2:$A$504,"Equipment or Facility Rental/User Fees",Budget!$X$2:$X$504)</f>
        <v>0</v>
      </c>
    </row>
    <row r="55" spans="1:12" s="217" customFormat="1" ht="15" x14ac:dyDescent="0.25">
      <c r="A55" s="601" t="s">
        <v>326</v>
      </c>
      <c r="B55" s="601"/>
      <c r="C55" s="601"/>
      <c r="D55" s="601"/>
      <c r="E55" s="601"/>
      <c r="F55" s="601"/>
      <c r="G55" s="601"/>
      <c r="H55" s="601"/>
      <c r="I55" s="601"/>
      <c r="J55" s="601"/>
      <c r="K55" s="247">
        <f>SUMIF(Budget!$A$2:$A$504,"Alterations and Renovations",Budget!$X$2:$X$504)</f>
        <v>0</v>
      </c>
    </row>
    <row r="56" spans="1:12" s="217" customFormat="1" ht="15" x14ac:dyDescent="0.25">
      <c r="A56" s="598" t="s">
        <v>379</v>
      </c>
      <c r="B56" s="598"/>
      <c r="C56" s="598"/>
      <c r="D56" s="598"/>
      <c r="E56" s="598"/>
      <c r="F56" s="598"/>
      <c r="G56" s="598"/>
      <c r="H56" s="598"/>
      <c r="I56" s="598"/>
      <c r="J56" s="598"/>
      <c r="K56" s="247">
        <f>TotalGSR10</f>
        <v>0</v>
      </c>
    </row>
    <row r="57" spans="1:12" s="217" customFormat="1" ht="15" x14ac:dyDescent="0.25">
      <c r="A57" s="598" t="s">
        <v>380</v>
      </c>
      <c r="B57" s="598"/>
      <c r="C57" s="598"/>
      <c r="D57" s="598"/>
      <c r="E57" s="598"/>
      <c r="F57" s="598"/>
      <c r="G57" s="598"/>
      <c r="H57" s="598"/>
      <c r="I57" s="598"/>
      <c r="J57" s="598"/>
      <c r="K57" s="247">
        <f>SUMIF(Budget!$A$2:$A$504,"Other",Budget!$X$2:$X$504)+SUMIF(Budget!$A$2:$A$504,"Other Maintenance Fees",Budget!$X$2:$X$504)</f>
        <v>0</v>
      </c>
    </row>
    <row r="58" spans="1:12" s="217" customFormat="1" thickBot="1" x14ac:dyDescent="0.3">
      <c r="A58" s="602" t="s">
        <v>383</v>
      </c>
      <c r="B58" s="602"/>
      <c r="C58" s="602"/>
      <c r="D58" s="602"/>
      <c r="E58" s="602"/>
      <c r="F58" s="602"/>
      <c r="G58" s="602"/>
      <c r="H58" s="602"/>
      <c r="I58" s="602"/>
      <c r="J58" s="602"/>
      <c r="K58" s="236">
        <v>0</v>
      </c>
    </row>
    <row r="59" spans="1:12" s="217" customFormat="1" ht="15" customHeight="1" thickBot="1" x14ac:dyDescent="0.3">
      <c r="I59" s="600" t="s">
        <v>21</v>
      </c>
      <c r="J59" s="583"/>
      <c r="K59" s="235">
        <f ca="1">SUM(K49:K58)</f>
        <v>0</v>
      </c>
    </row>
    <row r="60" spans="1:12" s="217" customFormat="1" ht="15" x14ac:dyDescent="0.25">
      <c r="K60" s="252"/>
    </row>
    <row r="61" spans="1:12" ht="16.5" thickBot="1" x14ac:dyDescent="0.3">
      <c r="A61" s="126" t="s">
        <v>302</v>
      </c>
      <c r="K61" s="230" t="s">
        <v>346</v>
      </c>
      <c r="L61" s="221"/>
    </row>
    <row r="62" spans="1:12" s="217" customFormat="1" ht="15" customHeight="1" thickBot="1" x14ac:dyDescent="0.3">
      <c r="A62" s="583" t="s">
        <v>359</v>
      </c>
      <c r="B62" s="584"/>
      <c r="C62" s="584"/>
      <c r="D62" s="584"/>
      <c r="E62" s="584"/>
      <c r="F62" s="584"/>
      <c r="G62" s="584"/>
      <c r="H62" s="584"/>
      <c r="I62" s="584"/>
      <c r="J62" s="584"/>
      <c r="K62" s="235">
        <f ca="1">K25+K33+K38+K46+K59</f>
        <v>0</v>
      </c>
    </row>
    <row r="63" spans="1:12" s="217" customFormat="1" ht="15" x14ac:dyDescent="0.25">
      <c r="K63" s="252"/>
    </row>
    <row r="64" spans="1:12" x14ac:dyDescent="0.25">
      <c r="A64" s="126" t="s">
        <v>303</v>
      </c>
    </row>
    <row r="65" spans="1:11" s="217" customFormat="1" ht="15" x14ac:dyDescent="0.25">
      <c r="A65" s="587" t="s">
        <v>357</v>
      </c>
      <c r="B65" s="587"/>
      <c r="C65" s="587"/>
      <c r="D65" s="587"/>
      <c r="E65" s="587"/>
      <c r="F65" s="587" t="s">
        <v>358</v>
      </c>
      <c r="G65" s="587"/>
      <c r="H65" s="587"/>
      <c r="I65" s="587"/>
      <c r="J65" s="587"/>
      <c r="K65" s="249" t="s">
        <v>346</v>
      </c>
    </row>
    <row r="66" spans="1:11" s="217" customFormat="1" ht="15" x14ac:dyDescent="0.25">
      <c r="A66" s="603" t="str">
        <f>Budget!X105</f>
        <v xml:space="preserve"> </v>
      </c>
      <c r="B66" s="603"/>
      <c r="C66" s="603"/>
      <c r="D66" s="603"/>
      <c r="E66" s="603"/>
      <c r="F66" s="588">
        <f ca="1">Budget!X101</f>
        <v>0</v>
      </c>
      <c r="G66" s="588"/>
      <c r="H66" s="588"/>
      <c r="I66" s="588"/>
      <c r="J66" s="588"/>
      <c r="K66" s="247" t="e">
        <f ca="1">ROUND((A66*F66),0)</f>
        <v>#VALUE!</v>
      </c>
    </row>
    <row r="67" spans="1:11" s="217" customFormat="1" ht="15" x14ac:dyDescent="0.25">
      <c r="A67" s="577"/>
      <c r="B67" s="577"/>
      <c r="C67" s="577"/>
      <c r="D67" s="577"/>
      <c r="E67" s="577"/>
      <c r="F67" s="578"/>
      <c r="G67" s="578"/>
      <c r="H67" s="578"/>
      <c r="I67" s="578"/>
      <c r="J67" s="578"/>
      <c r="K67" s="253">
        <f t="shared" ref="K67:K69" si="6">ROUND((A67*F67),0)</f>
        <v>0</v>
      </c>
    </row>
    <row r="68" spans="1:11" s="217" customFormat="1" ht="15" x14ac:dyDescent="0.25">
      <c r="A68" s="577"/>
      <c r="B68" s="577"/>
      <c r="C68" s="577"/>
      <c r="D68" s="577"/>
      <c r="E68" s="577"/>
      <c r="F68" s="578"/>
      <c r="G68" s="578"/>
      <c r="H68" s="578"/>
      <c r="I68" s="578"/>
      <c r="J68" s="578"/>
      <c r="K68" s="253">
        <f t="shared" si="6"/>
        <v>0</v>
      </c>
    </row>
    <row r="69" spans="1:11" s="217" customFormat="1" thickBot="1" x14ac:dyDescent="0.3">
      <c r="A69" s="577"/>
      <c r="B69" s="577"/>
      <c r="C69" s="577"/>
      <c r="D69" s="577"/>
      <c r="E69" s="577"/>
      <c r="F69" s="578"/>
      <c r="G69" s="578"/>
      <c r="H69" s="578"/>
      <c r="I69" s="578"/>
      <c r="J69" s="578"/>
      <c r="K69" s="253">
        <f t="shared" si="6"/>
        <v>0</v>
      </c>
    </row>
    <row r="70" spans="1:11" s="217" customFormat="1" thickBot="1" x14ac:dyDescent="0.3">
      <c r="I70" s="583" t="s">
        <v>27</v>
      </c>
      <c r="J70" s="584"/>
      <c r="K70" s="235" t="e">
        <f ca="1">SUM(K66:K69)</f>
        <v>#VALUE!</v>
      </c>
    </row>
    <row r="71" spans="1:11" s="217" customFormat="1" ht="15" x14ac:dyDescent="0.25">
      <c r="K71" s="252"/>
    </row>
    <row r="72" spans="1:11" ht="16.5" thickBot="1" x14ac:dyDescent="0.3">
      <c r="A72" s="126" t="s">
        <v>304</v>
      </c>
      <c r="K72" s="232" t="s">
        <v>346</v>
      </c>
    </row>
    <row r="73" spans="1:11" s="217" customFormat="1" thickBot="1" x14ac:dyDescent="0.3">
      <c r="A73" s="583" t="s">
        <v>356</v>
      </c>
      <c r="B73" s="584"/>
      <c r="C73" s="584"/>
      <c r="D73" s="584"/>
      <c r="E73" s="584"/>
      <c r="F73" s="584"/>
      <c r="G73" s="584"/>
      <c r="H73" s="584"/>
      <c r="I73" s="584"/>
      <c r="J73" s="584"/>
      <c r="K73" s="235" t="e">
        <f ca="1">K62+K70</f>
        <v>#VALUE!</v>
      </c>
    </row>
    <row r="74" spans="1:11" s="217" customFormat="1" ht="15" x14ac:dyDescent="0.25">
      <c r="K74" s="252"/>
    </row>
    <row r="75" spans="1:11" ht="16.5" thickBot="1" x14ac:dyDescent="0.3">
      <c r="A75" s="126" t="s">
        <v>305</v>
      </c>
      <c r="K75" s="230" t="s">
        <v>346</v>
      </c>
    </row>
    <row r="76" spans="1:11" s="217" customFormat="1" thickBot="1" x14ac:dyDescent="0.3">
      <c r="A76" s="604"/>
      <c r="B76" s="605"/>
      <c r="C76" s="605"/>
      <c r="D76" s="605"/>
      <c r="E76" s="605"/>
      <c r="F76" s="605"/>
      <c r="G76" s="605"/>
      <c r="H76" s="605"/>
      <c r="I76" s="605"/>
      <c r="J76" s="605"/>
      <c r="K76" s="245"/>
    </row>
    <row r="78" spans="1:11" ht="16.5" thickBot="1" x14ac:dyDescent="0.3"/>
    <row r="79" spans="1:11" x14ac:dyDescent="0.25">
      <c r="A79" s="254" t="s">
        <v>364</v>
      </c>
      <c r="B79" s="255"/>
      <c r="C79" s="255"/>
      <c r="D79" s="255"/>
      <c r="E79" s="255"/>
      <c r="F79" s="255"/>
      <c r="G79" s="255"/>
      <c r="H79" s="255"/>
      <c r="I79" s="255"/>
      <c r="J79" s="255"/>
      <c r="K79" s="256"/>
    </row>
    <row r="80" spans="1:11" x14ac:dyDescent="0.25">
      <c r="A80" s="257" t="s">
        <v>369</v>
      </c>
      <c r="B80" s="258"/>
      <c r="C80" s="258"/>
      <c r="D80" s="258"/>
      <c r="E80" s="258"/>
      <c r="F80" s="258"/>
      <c r="G80" s="258"/>
      <c r="H80" s="258"/>
      <c r="I80" s="258"/>
      <c r="J80" s="258"/>
      <c r="K80" s="259"/>
    </row>
    <row r="81" spans="1:11" x14ac:dyDescent="0.25">
      <c r="A81" s="257" t="s">
        <v>368</v>
      </c>
      <c r="B81" s="258"/>
      <c r="C81" s="258"/>
      <c r="D81" s="258"/>
      <c r="E81" s="258"/>
      <c r="F81" s="258"/>
      <c r="G81" s="258"/>
      <c r="H81" s="258"/>
      <c r="I81" s="258"/>
      <c r="J81" s="258"/>
      <c r="K81" s="259"/>
    </row>
    <row r="82" spans="1:11" x14ac:dyDescent="0.25">
      <c r="A82" s="257" t="s">
        <v>385</v>
      </c>
      <c r="B82" s="258"/>
      <c r="C82" s="258"/>
      <c r="D82" s="258"/>
      <c r="E82" s="258"/>
      <c r="F82" s="258"/>
      <c r="G82" s="258"/>
      <c r="H82" s="258"/>
      <c r="I82" s="258"/>
      <c r="J82" s="258"/>
      <c r="K82" s="259"/>
    </row>
    <row r="83" spans="1:11" ht="16.5" thickBot="1" x14ac:dyDescent="0.3">
      <c r="A83" s="260" t="s">
        <v>378</v>
      </c>
      <c r="B83" s="261"/>
      <c r="C83" s="261"/>
      <c r="D83" s="261"/>
      <c r="E83" s="261"/>
      <c r="F83" s="261"/>
      <c r="G83" s="261"/>
      <c r="H83" s="261"/>
      <c r="I83" s="261"/>
      <c r="J83" s="261"/>
      <c r="K83" s="262"/>
    </row>
  </sheetData>
  <sheetProtection algorithmName="SHA-512" hashValue="RfkRCzDMG1eaIZLZU7x5617HQgtW7IZcC6/M6HS8P9UR9KmiW73mezbqtbc6ai/Ejfc0BTdGDRIvRpfmvHyytQ==" saltValue="vVL/O/HWIErhXQeFriI6mg==" spinCount="100000" sheet="1" objects="1" scenarios="1" selectLockedCells="1"/>
  <mergeCells count="79">
    <mergeCell ref="A69:E69"/>
    <mergeCell ref="F69:J69"/>
    <mergeCell ref="I70:J70"/>
    <mergeCell ref="A73:J73"/>
    <mergeCell ref="A76:J76"/>
    <mergeCell ref="A66:E66"/>
    <mergeCell ref="F66:J66"/>
    <mergeCell ref="A67:E67"/>
    <mergeCell ref="F67:J67"/>
    <mergeCell ref="A68:E68"/>
    <mergeCell ref="F68:J68"/>
    <mergeCell ref="A57:J57"/>
    <mergeCell ref="A58:J58"/>
    <mergeCell ref="I59:J59"/>
    <mergeCell ref="A62:J62"/>
    <mergeCell ref="A65:E65"/>
    <mergeCell ref="F65:J65"/>
    <mergeCell ref="A56:J56"/>
    <mergeCell ref="A44:J44"/>
    <mergeCell ref="A45:J45"/>
    <mergeCell ref="H46:J46"/>
    <mergeCell ref="C47:D47"/>
    <mergeCell ref="A49:J49"/>
    <mergeCell ref="A50:J50"/>
    <mergeCell ref="A51:J51"/>
    <mergeCell ref="A52:J52"/>
    <mergeCell ref="A53:J53"/>
    <mergeCell ref="A54:J54"/>
    <mergeCell ref="A55:J55"/>
    <mergeCell ref="A43:J43"/>
    <mergeCell ref="A27:J27"/>
    <mergeCell ref="A28:J28"/>
    <mergeCell ref="A29:J29"/>
    <mergeCell ref="A30:J30"/>
    <mergeCell ref="A31:J31"/>
    <mergeCell ref="A32:J32"/>
    <mergeCell ref="A36:J36"/>
    <mergeCell ref="A37:J37"/>
    <mergeCell ref="C38:D38"/>
    <mergeCell ref="A41:J41"/>
    <mergeCell ref="A42:J42"/>
    <mergeCell ref="H25:J25"/>
    <mergeCell ref="B21:C21"/>
    <mergeCell ref="G21:H21"/>
    <mergeCell ref="I21:J21"/>
    <mergeCell ref="B22:C22"/>
    <mergeCell ref="G22:H22"/>
    <mergeCell ref="I22:J22"/>
    <mergeCell ref="B23:C23"/>
    <mergeCell ref="G23:H23"/>
    <mergeCell ref="I23:J23"/>
    <mergeCell ref="B24:D24"/>
    <mergeCell ref="H24:J24"/>
    <mergeCell ref="B19:C19"/>
    <mergeCell ref="G19:H19"/>
    <mergeCell ref="I19:J19"/>
    <mergeCell ref="B20:C20"/>
    <mergeCell ref="G20:H20"/>
    <mergeCell ref="I20:J20"/>
    <mergeCell ref="B17:C17"/>
    <mergeCell ref="G17:H17"/>
    <mergeCell ref="I17:J17"/>
    <mergeCell ref="B18:C18"/>
    <mergeCell ref="G18:H18"/>
    <mergeCell ref="I18:J18"/>
    <mergeCell ref="B15:C15"/>
    <mergeCell ref="G15:H15"/>
    <mergeCell ref="I15:J15"/>
    <mergeCell ref="B16:C16"/>
    <mergeCell ref="G16:H16"/>
    <mergeCell ref="I16:J16"/>
    <mergeCell ref="B14:C14"/>
    <mergeCell ref="G14:H14"/>
    <mergeCell ref="I14:J14"/>
    <mergeCell ref="F10:H10"/>
    <mergeCell ref="I11:J11"/>
    <mergeCell ref="B13:C13"/>
    <mergeCell ref="G13:H13"/>
    <mergeCell ref="I13:J13"/>
  </mergeCells>
  <pageMargins left="0.75" right="0.75" top="1" bottom="1" header="0.5" footer="0.5"/>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D32"/>
  <sheetViews>
    <sheetView workbookViewId="0">
      <selection activeCell="B23" sqref="B23"/>
    </sheetView>
  </sheetViews>
  <sheetFormatPr defaultColWidth="11" defaultRowHeight="15.75" x14ac:dyDescent="0.25"/>
  <cols>
    <col min="1" max="1" width="40.125" bestFit="1" customWidth="1"/>
    <col min="2" max="3" width="20.875" style="2" customWidth="1"/>
    <col min="4" max="4" width="20.875" style="187" customWidth="1"/>
  </cols>
  <sheetData>
    <row r="1" spans="1:4" ht="18.75" x14ac:dyDescent="0.3">
      <c r="A1" s="127" t="s">
        <v>306</v>
      </c>
    </row>
    <row r="2" spans="1:4" ht="16.5" thickBot="1" x14ac:dyDescent="0.3">
      <c r="B2" s="606" t="s">
        <v>331</v>
      </c>
      <c r="C2" s="607"/>
    </row>
    <row r="3" spans="1:4" s="1" customFormat="1" ht="21.95" customHeight="1" thickBot="1" x14ac:dyDescent="0.3">
      <c r="A3" s="216" t="s">
        <v>307</v>
      </c>
      <c r="B3" s="45"/>
      <c r="C3" s="263">
        <f>'Grants.gov Detailed Yr 1'!K11+'Grants.gov Detailed Yr 2'!K11+'Grants.gov Detailed Yr 3'!K11+'Grants.gov Detailed Yr 4'!K11+'Grants.gov Detailed Yr 5'!K11+'Grants.gov Detailed Yr 6'!K11+'Grants.gov Detailed Yr 7'!K11+'Grants.gov Detailed Yr 8'!K11+'Grants.gov Detailed Yr 9'!K11+'Grants.gov Detailed Yr 10'!K11</f>
        <v>0</v>
      </c>
      <c r="D3" s="219"/>
    </row>
    <row r="4" spans="1:4" s="1" customFormat="1" ht="21.95" customHeight="1" thickBot="1" x14ac:dyDescent="0.3">
      <c r="A4" s="216" t="s">
        <v>308</v>
      </c>
      <c r="B4" s="45"/>
      <c r="C4" s="263">
        <f>'Grants.gov Detailed Yr 1'!K24+'Grants.gov Detailed Yr 2'!K24+'Grants.gov Detailed Yr 3'!K24+'Grants.gov Detailed Yr 4'!K24+'Grants.gov Detailed Yr 5'!K24+'Grants.gov Detailed Yr 6'!K24+'Grants.gov Detailed Yr 7'!K24+'Grants.gov Detailed Yr 8'!K24+'Grants.gov Detailed Yr 9'!K24+'Grants.gov Detailed Yr 10'!K24</f>
        <v>0</v>
      </c>
      <c r="D4" s="219"/>
    </row>
    <row r="5" spans="1:4" s="1" customFormat="1" ht="21.95" customHeight="1" thickBot="1" x14ac:dyDescent="0.3">
      <c r="A5" s="1" t="s">
        <v>309</v>
      </c>
      <c r="B5" s="264">
        <f>'Grants.gov Detailed Yr 1'!A24+'Grants.gov Detailed Yr 2'!A24+'Grants.gov Detailed Yr 3'!A24+'Grants.gov Detailed Yr 4'!A24+'Grants.gov Detailed Yr 5'!A24+'Grants.gov Detailed Yr 6'!A24+'Grants.gov Detailed Yr 7'!A24+'Grants.gov Detailed Yr 8'!A24+'Grants.gov Detailed Yr 9'!A24+'Grants.gov Detailed Yr 10'!A24</f>
        <v>0</v>
      </c>
      <c r="C5" s="45"/>
      <c r="D5" s="219"/>
    </row>
    <row r="6" spans="1:4" s="1" customFormat="1" ht="21.95" customHeight="1" thickBot="1" x14ac:dyDescent="0.3">
      <c r="A6" s="216" t="s">
        <v>310</v>
      </c>
      <c r="B6" s="45"/>
      <c r="C6" s="263">
        <f ca="1">Budget!Z34</f>
        <v>0</v>
      </c>
      <c r="D6" s="219"/>
    </row>
    <row r="7" spans="1:4" s="1" customFormat="1" ht="21.95" customHeight="1" thickBot="1" x14ac:dyDescent="0.3">
      <c r="A7" s="216" t="s">
        <v>311</v>
      </c>
      <c r="B7" s="45"/>
      <c r="C7" s="263">
        <f>Budget!Z52</f>
        <v>0</v>
      </c>
      <c r="D7" s="219"/>
    </row>
    <row r="8" spans="1:4" s="1" customFormat="1" ht="21.95" customHeight="1" thickBot="1" x14ac:dyDescent="0.3">
      <c r="A8" s="216" t="s">
        <v>312</v>
      </c>
      <c r="B8" s="45"/>
      <c r="C8" s="263">
        <f>Budget!Z39+Budget!Z44</f>
        <v>0</v>
      </c>
      <c r="D8" s="219"/>
    </row>
    <row r="9" spans="1:4" s="1" customFormat="1" ht="21.95" customHeight="1" thickBot="1" x14ac:dyDescent="0.3">
      <c r="A9" s="1" t="s">
        <v>313</v>
      </c>
      <c r="B9" s="263">
        <f>Budget!Z39</f>
        <v>0</v>
      </c>
      <c r="C9" s="45"/>
      <c r="D9" s="219"/>
    </row>
    <row r="10" spans="1:4" s="1" customFormat="1" ht="21.95" customHeight="1" thickBot="1" x14ac:dyDescent="0.3">
      <c r="A10" s="1" t="s">
        <v>113</v>
      </c>
      <c r="B10" s="263">
        <f>Budget!Z44</f>
        <v>0</v>
      </c>
      <c r="C10" s="45"/>
      <c r="D10" s="219"/>
    </row>
    <row r="11" spans="1:4" s="1" customFormat="1" ht="21.95" customHeight="1" thickBot="1" x14ac:dyDescent="0.3">
      <c r="A11" s="216" t="s">
        <v>314</v>
      </c>
      <c r="B11" s="45"/>
      <c r="C11" s="263">
        <f>Budget!Z57</f>
        <v>0</v>
      </c>
      <c r="D11" s="219"/>
    </row>
    <row r="12" spans="1:4" s="1" customFormat="1" ht="21.95" customHeight="1" thickBot="1" x14ac:dyDescent="0.3">
      <c r="A12" s="1" t="s">
        <v>315</v>
      </c>
      <c r="B12" s="263">
        <f>'Grants.gov Detailed Yr 1'!K41+'Grants.gov Detailed Yr 2'!K41+'Grants.gov Detailed Yr 3'!K41+'Grants.gov Detailed Yr 4'!K41+'Grants.gov Detailed Yr 5'!K41+'Grants.gov Detailed Yr 6'!K41+'Grants.gov Detailed Yr 7'!K41+'Grants.gov Detailed Yr 8'!K41+'Grants.gov Detailed Yr 9'!K41+'Grants.gov Detailed Yr 10'!K41</f>
        <v>0</v>
      </c>
      <c r="C12" s="45"/>
      <c r="D12" s="219"/>
    </row>
    <row r="13" spans="1:4" s="1" customFormat="1" ht="21.95" customHeight="1" thickBot="1" x14ac:dyDescent="0.3">
      <c r="A13" s="1" t="s">
        <v>316</v>
      </c>
      <c r="B13" s="263">
        <f>'Grants.gov Detailed Yr 1'!K42+'Grants.gov Detailed Yr 2'!K42+'Grants.gov Detailed Yr 3'!K42+'Grants.gov Detailed Yr 4'!K42+'Grants.gov Detailed Yr 5'!K42+'Grants.gov Detailed Yr 6'!K42+'Grants.gov Detailed Yr 7'!K42+'Grants.gov Detailed Yr 8'!K42+'Grants.gov Detailed Yr 9'!K42+'Grants.gov Detailed Yr 10'!K42</f>
        <v>0</v>
      </c>
      <c r="C13" s="45"/>
      <c r="D13" s="219"/>
    </row>
    <row r="14" spans="1:4" s="1" customFormat="1" ht="21.95" customHeight="1" thickBot="1" x14ac:dyDescent="0.3">
      <c r="A14" s="1" t="s">
        <v>317</v>
      </c>
      <c r="B14" s="263">
        <f>'Grants.gov Detailed Yr 1'!K43+'Grants.gov Detailed Yr 2'!K43+'Grants.gov Detailed Yr 3'!K43+'Grants.gov Detailed Yr 4'!K43+'Grants.gov Detailed Yr 5'!K43+'Grants.gov Detailed Yr 6'!K43+'Grants.gov Detailed Yr 7'!K43+'Grants.gov Detailed Yr 8'!K43+'Grants.gov Detailed Yr 9'!K43+'Grants.gov Detailed Yr 10'!K43</f>
        <v>0</v>
      </c>
      <c r="C14" s="45"/>
      <c r="D14" s="219"/>
    </row>
    <row r="15" spans="1:4" s="1" customFormat="1" ht="21.95" customHeight="1" thickBot="1" x14ac:dyDescent="0.3">
      <c r="A15" s="1" t="s">
        <v>318</v>
      </c>
      <c r="B15" s="263">
        <f>'Grants.gov Detailed Yr 1'!K44+'Grants.gov Detailed Yr 2'!K44+'Grants.gov Detailed Yr 3'!K44+'Grants.gov Detailed Yr 4'!K44+'Grants.gov Detailed Yr 5'!K44+'Grants.gov Detailed Yr 6'!K44+'Grants.gov Detailed Yr 7'!K44+'Grants.gov Detailed Yr 8'!K44+'Grants.gov Detailed Yr 9'!K44+'Grants.gov Detailed Yr 10'!K44</f>
        <v>0</v>
      </c>
      <c r="C15" s="45"/>
      <c r="D15" s="219"/>
    </row>
    <row r="16" spans="1:4" s="1" customFormat="1" ht="21.95" customHeight="1" thickBot="1" x14ac:dyDescent="0.3">
      <c r="A16" s="1" t="s">
        <v>319</v>
      </c>
      <c r="B16" s="263">
        <f>'Grants.gov Detailed Yr 1'!K45+'Grants.gov Detailed Yr 2'!K45+'Grants.gov Detailed Yr 3'!K45+'Grants.gov Detailed Yr 4'!K45+'Grants.gov Detailed Yr 5'!K45+'Grants.gov Detailed Yr 6'!K45+'Grants.gov Detailed Yr 7'!K45+'Grants.gov Detailed Yr 8'!K45+'Grants.gov Detailed Yr 9'!K45+'Grants.gov Detailed Yr 10'!K45</f>
        <v>0</v>
      </c>
      <c r="C16" s="45"/>
      <c r="D16" s="219"/>
    </row>
    <row r="17" spans="1:4" s="1" customFormat="1" ht="21.95" customHeight="1" thickBot="1" x14ac:dyDescent="0.3">
      <c r="A17" s="1" t="s">
        <v>320</v>
      </c>
      <c r="B17" s="264">
        <f>'Grants.gov Detailed Yr 1'!K46+'Grants.gov Detailed Yr 2'!K46+'Grants.gov Detailed Yr 3'!K46+'Grants.gov Detailed Yr 4'!K46+'Grants.gov Detailed Yr 5'!K46+'Grants.gov Detailed Yr 6'!K46+'Grants.gov Detailed Yr 7'!K46+'Grants.gov Detailed Yr 8'!K46+'Grants.gov Detailed Yr 9'!K46+'Grants.gov Detailed Yr 10'!K46</f>
        <v>0</v>
      </c>
      <c r="C17" s="45"/>
      <c r="D17" s="219"/>
    </row>
    <row r="18" spans="1:4" s="1" customFormat="1" ht="21.95" customHeight="1" thickBot="1" x14ac:dyDescent="0.3">
      <c r="A18" s="216" t="s">
        <v>321</v>
      </c>
      <c r="B18" s="45"/>
      <c r="C18" s="263">
        <f ca="1">'Grants.gov Detailed Yr 1'!K59+'Grants.gov Detailed Yr 2'!K59+'Grants.gov Detailed Yr 3'!K59+'Grants.gov Detailed Yr 4'!K59+'Grants.gov Detailed Yr 5'!K59+'Grants.gov Detailed Yr 6'!K59+'Grants.gov Detailed Yr 7'!K59+'Grants.gov Detailed Yr 8'!K59+'Grants.gov Detailed Yr 9'!K59+'Grants.gov Detailed Yr 10'!K59</f>
        <v>0</v>
      </c>
      <c r="D18" s="219"/>
    </row>
    <row r="19" spans="1:4" s="1" customFormat="1" ht="21.95" customHeight="1" thickBot="1" x14ac:dyDescent="0.3">
      <c r="A19" s="1" t="s">
        <v>120</v>
      </c>
      <c r="B19" s="263">
        <f>'Grants.gov Detailed Yr 1'!K49+'Grants.gov Detailed Yr 2'!K49+'Grants.gov Detailed Yr 3'!K49+'Grants.gov Detailed Yr 4'!K49+'Grants.gov Detailed Yr 5'!K49+'Grants.gov Detailed Yr 6'!K49+'Grants.gov Detailed Yr 7'!K49+'Grants.gov Detailed Yr 8'!K49+'Grants.gov Detailed Yr 9'!K49+'Grants.gov Detailed Yr 10'!K49</f>
        <v>0</v>
      </c>
      <c r="C19" s="45"/>
      <c r="D19" s="219"/>
    </row>
    <row r="20" spans="1:4" s="1" customFormat="1" ht="21.95" customHeight="1" thickBot="1" x14ac:dyDescent="0.3">
      <c r="A20" s="1" t="s">
        <v>322</v>
      </c>
      <c r="B20" s="263">
        <f>'Grants.gov Detailed Yr 1'!K50+'Grants.gov Detailed Yr 2'!K50+'Grants.gov Detailed Yr 3'!K50+'Grants.gov Detailed Yr 4'!K50+'Grants.gov Detailed Yr 5'!K50+'Grants.gov Detailed Yr 6'!K50+'Grants.gov Detailed Yr 7'!K50+'Grants.gov Detailed Yr 8'!K50+'Grants.gov Detailed Yr 9'!K50+'Grants.gov Detailed Yr 10'!K50</f>
        <v>0</v>
      </c>
      <c r="C20" s="45"/>
      <c r="D20" s="219"/>
    </row>
    <row r="21" spans="1:4" s="1" customFormat="1" ht="21.95" customHeight="1" thickBot="1" x14ac:dyDescent="0.3">
      <c r="A21" s="1" t="s">
        <v>122</v>
      </c>
      <c r="B21" s="263">
        <f>'Grants.gov Detailed Yr 1'!K51+'Grants.gov Detailed Yr 2'!K51+'Grants.gov Detailed Yr 3'!K51+'Grants.gov Detailed Yr 4'!K51+'Grants.gov Detailed Yr 5'!K51+'Grants.gov Detailed Yr 6'!K51+'Grants.gov Detailed Yr 7'!K51+'Grants.gov Detailed Yr 8'!K51+'Grants.gov Detailed Yr 9'!K51+'Grants.gov Detailed Yr 10'!K51</f>
        <v>0</v>
      </c>
      <c r="C21" s="45"/>
      <c r="D21" s="219"/>
    </row>
    <row r="22" spans="1:4" s="1" customFormat="1" ht="21.95" customHeight="1" thickBot="1" x14ac:dyDescent="0.3">
      <c r="A22" s="1" t="s">
        <v>323</v>
      </c>
      <c r="B22" s="263">
        <f>'Grants.gov Detailed Yr 1'!K52+'Grants.gov Detailed Yr 2'!K52+'Grants.gov Detailed Yr 3'!K52+'Grants.gov Detailed Yr 4'!K52+'Grants.gov Detailed Yr 5'!K52+'Grants.gov Detailed Yr 6'!K52+'Grants.gov Detailed Yr 7'!K52+'Grants.gov Detailed Yr 8'!K52+'Grants.gov Detailed Yr 9'!K52+'Grants.gov Detailed Yr 10'!K52</f>
        <v>0</v>
      </c>
      <c r="C22" s="45"/>
      <c r="D22" s="219"/>
    </row>
    <row r="23" spans="1:4" s="1" customFormat="1" ht="21.95" customHeight="1" thickBot="1" x14ac:dyDescent="0.3">
      <c r="A23" s="1" t="s">
        <v>324</v>
      </c>
      <c r="B23" s="263">
        <f ca="1">'Grants.gov Detailed Yr 1'!K53+'Grants.gov Detailed Yr 2'!K53+'Grants.gov Detailed Yr 3'!K53+'Grants.gov Detailed Yr 4'!K53+'Grants.gov Detailed Yr 5'!K53+'Grants.gov Detailed Yr 6'!K53+'Grants.gov Detailed Yr 7'!K53+'Grants.gov Detailed Yr 8'!K53+'Grants.gov Detailed Yr 9'!K53+'Grants.gov Detailed Yr 10'!K53</f>
        <v>0</v>
      </c>
      <c r="C23" s="45"/>
      <c r="D23" s="219"/>
    </row>
    <row r="24" spans="1:4" s="1" customFormat="1" ht="21.95" customHeight="1" thickBot="1" x14ac:dyDescent="0.3">
      <c r="A24" s="1" t="s">
        <v>325</v>
      </c>
      <c r="B24" s="263">
        <f>'Grants.gov Detailed Yr 1'!K54+'Grants.gov Detailed Yr 2'!K54+'Grants.gov Detailed Yr 3'!K54+'Grants.gov Detailed Yr 4'!K54+'Grants.gov Detailed Yr 5'!K54+'Grants.gov Detailed Yr 6'!K54+'Grants.gov Detailed Yr 7'!K54+'Grants.gov Detailed Yr 8'!K54+'Grants.gov Detailed Yr 9'!K54+'Grants.gov Detailed Yr 10'!K54</f>
        <v>0</v>
      </c>
      <c r="C24" s="45"/>
      <c r="D24" s="219"/>
    </row>
    <row r="25" spans="1:4" s="1" customFormat="1" ht="21.95" customHeight="1" thickBot="1" x14ac:dyDescent="0.3">
      <c r="A25" s="1" t="s">
        <v>326</v>
      </c>
      <c r="B25" s="263">
        <f>'Grants.gov Detailed Yr 1'!K55+'Grants.gov Detailed Yr 2'!K55+'Grants.gov Detailed Yr 3'!K55+'Grants.gov Detailed Yr 4'!K55+'Grants.gov Detailed Yr 5'!K55+'Grants.gov Detailed Yr 6'!K55+'Grants.gov Detailed Yr 7'!K55+'Grants.gov Detailed Yr 8'!K55+'Grants.gov Detailed Yr 9'!K55+'Grants.gov Detailed Yr 10'!K55</f>
        <v>0</v>
      </c>
      <c r="C25" s="45"/>
      <c r="D25" s="219"/>
    </row>
    <row r="26" spans="1:4" s="1" customFormat="1" ht="21.95" customHeight="1" thickBot="1" x14ac:dyDescent="0.3">
      <c r="A26" s="1" t="s">
        <v>379</v>
      </c>
      <c r="B26" s="263">
        <f>Budget!Z92</f>
        <v>0</v>
      </c>
      <c r="C26" s="45"/>
      <c r="D26" s="219"/>
    </row>
    <row r="27" spans="1:4" s="1" customFormat="1" ht="21.95" customHeight="1" thickBot="1" x14ac:dyDescent="0.3">
      <c r="A27" s="1" t="s">
        <v>380</v>
      </c>
      <c r="B27" s="263">
        <f>'Grants.gov Detailed Yr 1'!K57+'Grants.gov Detailed Yr 2'!K57+'Grants.gov Detailed Yr 3'!K57+'Grants.gov Detailed Yr 4'!K57+'Grants.gov Detailed Yr 5'!K57+'Grants.gov Detailed Yr 6'!K57+'Grants.gov Detailed Yr 7'!K57+'Grants.gov Detailed Yr 8'!K57+'Grants.gov Detailed Yr 9'!K57+'Grants.gov Detailed Yr 10'!K57</f>
        <v>0</v>
      </c>
      <c r="C27" s="45"/>
      <c r="D27" s="219"/>
    </row>
    <row r="28" spans="1:4" s="1" customFormat="1" ht="21.95" customHeight="1" thickBot="1" x14ac:dyDescent="0.3">
      <c r="A28" s="1">
        <v>10</v>
      </c>
      <c r="B28" s="263">
        <f>'Grants.gov Detailed Yr 1'!K58+'Grants.gov Detailed Yr 2'!K58+'Grants.gov Detailed Yr 3'!K58+'Grants.gov Detailed Yr 4'!K58+'Grants.gov Detailed Yr 5'!K58+'Grants.gov Detailed Yr 6'!K58+'Grants.gov Detailed Yr 7'!K58+'Grants.gov Detailed Yr 8'!K58+'Grants.gov Detailed Yr 9'!K58+'Grants.gov Detailed Yr 10'!K58</f>
        <v>0</v>
      </c>
      <c r="C28" s="45"/>
      <c r="D28" s="219"/>
    </row>
    <row r="29" spans="1:4" s="1" customFormat="1" ht="21.95" customHeight="1" thickBot="1" x14ac:dyDescent="0.3">
      <c r="A29" s="216" t="s">
        <v>327</v>
      </c>
      <c r="B29" s="45"/>
      <c r="C29" s="263">
        <f ca="1">Budget!Z99</f>
        <v>0</v>
      </c>
      <c r="D29" s="219"/>
    </row>
    <row r="30" spans="1:4" s="1" customFormat="1" ht="21.95" customHeight="1" thickBot="1" x14ac:dyDescent="0.3">
      <c r="A30" s="216" t="s">
        <v>328</v>
      </c>
      <c r="B30" s="45"/>
      <c r="C30" s="263">
        <f ca="1">Budget!Z109</f>
        <v>0</v>
      </c>
      <c r="D30" s="219"/>
    </row>
    <row r="31" spans="1:4" s="1" customFormat="1" ht="21.95" customHeight="1" thickBot="1" x14ac:dyDescent="0.3">
      <c r="A31" s="216" t="s">
        <v>329</v>
      </c>
      <c r="B31" s="45"/>
      <c r="C31" s="263">
        <f ca="1">Budget!Z111</f>
        <v>0</v>
      </c>
      <c r="D31" s="219"/>
    </row>
    <row r="32" spans="1:4" s="1" customFormat="1" ht="21.95" customHeight="1" thickBot="1" x14ac:dyDescent="0.3">
      <c r="A32" s="216" t="s">
        <v>330</v>
      </c>
      <c r="B32" s="45"/>
      <c r="C32" s="263">
        <f>'Grants.gov Detailed Yr 1'!K76+'Grants.gov Detailed Yr 2'!K76+'Grants.gov Detailed Yr 3'!K76+'Grants.gov Detailed Yr 4'!K76+'Grants.gov Detailed Yr 5'!K76+'Grants.gov Detailed Yr 6'!K76+'Grants.gov Detailed Yr 7'!K76+'Grants.gov Detailed Yr 8'!K76+'Grants.gov Detailed Yr 9'!K76+'Grants.gov Detailed Yr 10'!K76</f>
        <v>0</v>
      </c>
      <c r="D32" s="219"/>
    </row>
  </sheetData>
  <sheetProtection algorithmName="SHA-512" hashValue="rWIQK/D9OFMCgrUsQsH1Y8G0Rd9aRQJboiTIir3EucK6P1bTkFxy73R+qVLcTfLS41KZMBEzYGg4TlVRkLKY1g==" saltValue="Ii2yrRe6Tj3QCLowc8jXzg==" spinCount="100000" sheet="1" objects="1" scenarios="1"/>
  <mergeCells count="1">
    <mergeCell ref="B2:C2"/>
  </mergeCells>
  <pageMargins left="0.75" right="0.75" top="1" bottom="1" header="0.5" footer="0.5"/>
  <pageSetup orientation="portrait" horizontalDpi="4294967292" verticalDpi="4294967292"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42"/>
  <sheetViews>
    <sheetView zoomScale="70" zoomScaleNormal="70" workbookViewId="0">
      <selection activeCell="L23" sqref="L23"/>
    </sheetView>
  </sheetViews>
  <sheetFormatPr defaultColWidth="11" defaultRowHeight="15.75" x14ac:dyDescent="0.25"/>
  <cols>
    <col min="2" max="2" width="14" bestFit="1" customWidth="1"/>
    <col min="3" max="3" width="32.875" bestFit="1" customWidth="1"/>
    <col min="4" max="4" width="28.375" bestFit="1" customWidth="1"/>
    <col min="5" max="5" width="26.875" bestFit="1" customWidth="1"/>
    <col min="6" max="6" width="17.5" bestFit="1" customWidth="1"/>
    <col min="7" max="7" width="24.5" bestFit="1" customWidth="1"/>
    <col min="8" max="8" width="11" style="96"/>
    <col min="9" max="9" width="12.125" bestFit="1" customWidth="1"/>
    <col min="11" max="11" width="12.5" bestFit="1" customWidth="1"/>
  </cols>
  <sheetData>
    <row r="1" spans="1:11" x14ac:dyDescent="0.25">
      <c r="A1" t="s">
        <v>8</v>
      </c>
      <c r="C1" t="s">
        <v>45</v>
      </c>
      <c r="D1" t="s">
        <v>62</v>
      </c>
      <c r="E1" t="s">
        <v>63</v>
      </c>
      <c r="F1" t="s">
        <v>377</v>
      </c>
      <c r="G1" t="s">
        <v>144</v>
      </c>
      <c r="H1" s="96" t="s">
        <v>172</v>
      </c>
      <c r="I1" t="s">
        <v>174</v>
      </c>
      <c r="J1" t="s">
        <v>245</v>
      </c>
      <c r="K1" t="s">
        <v>428</v>
      </c>
    </row>
    <row r="2" spans="1:11" x14ac:dyDescent="0.25">
      <c r="A2" t="s">
        <v>232</v>
      </c>
      <c r="C2" t="s">
        <v>232</v>
      </c>
      <c r="D2" t="s">
        <v>232</v>
      </c>
      <c r="E2" t="s">
        <v>232</v>
      </c>
      <c r="F2" t="s">
        <v>232</v>
      </c>
      <c r="G2" t="s">
        <v>232</v>
      </c>
      <c r="H2" s="96" t="s">
        <v>232</v>
      </c>
      <c r="I2" t="s">
        <v>232</v>
      </c>
      <c r="J2" t="s">
        <v>232</v>
      </c>
      <c r="K2" t="s">
        <v>232</v>
      </c>
    </row>
    <row r="3" spans="1:11" x14ac:dyDescent="0.25">
      <c r="A3" t="s">
        <v>33</v>
      </c>
      <c r="C3" t="s">
        <v>46</v>
      </c>
      <c r="D3" t="s">
        <v>384</v>
      </c>
      <c r="E3" t="s">
        <v>283</v>
      </c>
      <c r="F3" t="s">
        <v>225</v>
      </c>
      <c r="G3" t="s">
        <v>226</v>
      </c>
      <c r="H3" s="96" t="s">
        <v>173</v>
      </c>
      <c r="I3" t="s">
        <v>179</v>
      </c>
      <c r="J3" t="s">
        <v>246</v>
      </c>
      <c r="K3" t="s">
        <v>429</v>
      </c>
    </row>
    <row r="4" spans="1:11" x14ac:dyDescent="0.25">
      <c r="A4" t="s">
        <v>34</v>
      </c>
      <c r="C4" t="s">
        <v>47</v>
      </c>
      <c r="D4" t="s">
        <v>215</v>
      </c>
      <c r="E4" t="s">
        <v>284</v>
      </c>
      <c r="F4" t="s">
        <v>221</v>
      </c>
      <c r="G4" t="s">
        <v>227</v>
      </c>
      <c r="H4" s="96">
        <v>0</v>
      </c>
      <c r="I4" t="s">
        <v>230</v>
      </c>
      <c r="J4" t="s">
        <v>247</v>
      </c>
      <c r="K4" t="s">
        <v>430</v>
      </c>
    </row>
    <row r="5" spans="1:11" x14ac:dyDescent="0.25">
      <c r="A5" t="s">
        <v>35</v>
      </c>
      <c r="C5" t="s">
        <v>48</v>
      </c>
      <c r="D5" t="s">
        <v>216</v>
      </c>
      <c r="E5" t="s">
        <v>285</v>
      </c>
      <c r="F5" t="s">
        <v>222</v>
      </c>
      <c r="G5" t="s">
        <v>228</v>
      </c>
      <c r="H5" s="96">
        <v>1</v>
      </c>
      <c r="I5" t="s">
        <v>175</v>
      </c>
    </row>
    <row r="6" spans="1:11" x14ac:dyDescent="0.25">
      <c r="A6" s="6" t="s">
        <v>36</v>
      </c>
      <c r="C6" t="s">
        <v>49</v>
      </c>
      <c r="D6" t="s">
        <v>217</v>
      </c>
      <c r="E6" t="s">
        <v>56</v>
      </c>
      <c r="F6" t="s">
        <v>223</v>
      </c>
      <c r="G6" t="s">
        <v>408</v>
      </c>
      <c r="H6" s="96">
        <v>2</v>
      </c>
      <c r="I6" t="s">
        <v>176</v>
      </c>
    </row>
    <row r="7" spans="1:11" x14ac:dyDescent="0.25">
      <c r="C7" t="s">
        <v>50</v>
      </c>
      <c r="D7" t="s">
        <v>218</v>
      </c>
      <c r="E7" t="s">
        <v>57</v>
      </c>
      <c r="F7" t="s">
        <v>224</v>
      </c>
      <c r="G7" t="s">
        <v>145</v>
      </c>
      <c r="H7" s="96">
        <v>3</v>
      </c>
      <c r="I7" t="s">
        <v>177</v>
      </c>
    </row>
    <row r="8" spans="1:11" x14ac:dyDescent="0.25">
      <c r="C8" t="s">
        <v>418</v>
      </c>
      <c r="E8" t="s">
        <v>64</v>
      </c>
      <c r="F8" t="s">
        <v>139</v>
      </c>
      <c r="G8" s="24" t="s">
        <v>146</v>
      </c>
      <c r="H8" s="96">
        <v>4</v>
      </c>
    </row>
    <row r="9" spans="1:11" x14ac:dyDescent="0.25">
      <c r="C9" t="s">
        <v>51</v>
      </c>
      <c r="E9" t="s">
        <v>65</v>
      </c>
      <c r="F9" t="s">
        <v>212</v>
      </c>
      <c r="G9" s="24" t="s">
        <v>147</v>
      </c>
      <c r="H9" s="96">
        <v>5</v>
      </c>
    </row>
    <row r="10" spans="1:11" x14ac:dyDescent="0.25">
      <c r="C10" t="s">
        <v>397</v>
      </c>
      <c r="E10" t="s">
        <v>46</v>
      </c>
      <c r="F10" t="s">
        <v>140</v>
      </c>
      <c r="G10" t="s">
        <v>148</v>
      </c>
      <c r="H10" s="96">
        <v>6</v>
      </c>
    </row>
    <row r="11" spans="1:11" x14ac:dyDescent="0.25">
      <c r="C11" t="s">
        <v>381</v>
      </c>
      <c r="E11" t="s">
        <v>47</v>
      </c>
      <c r="F11" t="s">
        <v>141</v>
      </c>
      <c r="G11" t="s">
        <v>149</v>
      </c>
      <c r="H11" s="96">
        <v>7</v>
      </c>
    </row>
    <row r="12" spans="1:11" x14ac:dyDescent="0.25">
      <c r="C12" t="s">
        <v>382</v>
      </c>
      <c r="E12" t="s">
        <v>48</v>
      </c>
      <c r="F12" t="s">
        <v>142</v>
      </c>
      <c r="G12" t="s">
        <v>150</v>
      </c>
      <c r="H12" s="96">
        <v>8</v>
      </c>
    </row>
    <row r="13" spans="1:11" x14ac:dyDescent="0.25">
      <c r="C13" t="s">
        <v>52</v>
      </c>
      <c r="E13" t="s">
        <v>49</v>
      </c>
      <c r="F13" t="s">
        <v>143</v>
      </c>
      <c r="G13" t="s">
        <v>438</v>
      </c>
      <c r="H13" s="96">
        <v>9</v>
      </c>
    </row>
    <row r="14" spans="1:11" x14ac:dyDescent="0.25">
      <c r="C14" t="s">
        <v>53</v>
      </c>
      <c r="E14" t="s">
        <v>50</v>
      </c>
      <c r="F14" t="s">
        <v>370</v>
      </c>
      <c r="G14" t="s">
        <v>439</v>
      </c>
      <c r="H14" s="96">
        <v>10</v>
      </c>
    </row>
    <row r="15" spans="1:11" x14ac:dyDescent="0.25">
      <c r="E15" t="s">
        <v>418</v>
      </c>
      <c r="F15" t="s">
        <v>371</v>
      </c>
      <c r="G15" t="s">
        <v>440</v>
      </c>
      <c r="H15" s="96">
        <v>11</v>
      </c>
    </row>
    <row r="16" spans="1:11" x14ac:dyDescent="0.25">
      <c r="E16" t="s">
        <v>51</v>
      </c>
      <c r="F16" t="s">
        <v>372</v>
      </c>
      <c r="G16" t="s">
        <v>442</v>
      </c>
      <c r="H16" s="96">
        <v>12</v>
      </c>
    </row>
    <row r="17" spans="5:8" x14ac:dyDescent="0.25">
      <c r="E17" t="s">
        <v>397</v>
      </c>
      <c r="F17" t="s">
        <v>373</v>
      </c>
      <c r="G17" t="s">
        <v>444</v>
      </c>
      <c r="H17" s="96">
        <v>13</v>
      </c>
    </row>
    <row r="18" spans="5:8" x14ac:dyDescent="0.25">
      <c r="E18" t="s">
        <v>398</v>
      </c>
      <c r="F18" t="s">
        <v>374</v>
      </c>
      <c r="G18" t="s">
        <v>443</v>
      </c>
      <c r="H18" s="96">
        <v>14</v>
      </c>
    </row>
    <row r="19" spans="5:8" x14ac:dyDescent="0.25">
      <c r="E19" t="s">
        <v>381</v>
      </c>
      <c r="F19" t="s">
        <v>375</v>
      </c>
      <c r="G19" t="s">
        <v>441</v>
      </c>
      <c r="H19" s="96">
        <v>15</v>
      </c>
    </row>
    <row r="20" spans="5:8" x14ac:dyDescent="0.25">
      <c r="E20" t="s">
        <v>382</v>
      </c>
      <c r="G20" t="s">
        <v>151</v>
      </c>
      <c r="H20" s="96">
        <v>16</v>
      </c>
    </row>
    <row r="21" spans="5:8" x14ac:dyDescent="0.25">
      <c r="E21" t="s">
        <v>52</v>
      </c>
      <c r="G21" t="s">
        <v>152</v>
      </c>
      <c r="H21" s="96">
        <v>17</v>
      </c>
    </row>
    <row r="22" spans="5:8" x14ac:dyDescent="0.25">
      <c r="E22" t="s">
        <v>399</v>
      </c>
      <c r="G22" t="s">
        <v>153</v>
      </c>
      <c r="H22" s="96">
        <v>18</v>
      </c>
    </row>
    <row r="23" spans="5:8" x14ac:dyDescent="0.25">
      <c r="E23" t="s">
        <v>400</v>
      </c>
      <c r="G23" t="s">
        <v>154</v>
      </c>
      <c r="H23" s="96">
        <v>19</v>
      </c>
    </row>
    <row r="24" spans="5:8" x14ac:dyDescent="0.25">
      <c r="E24" t="s">
        <v>53</v>
      </c>
      <c r="G24" t="s">
        <v>155</v>
      </c>
      <c r="H24" s="96">
        <v>20</v>
      </c>
    </row>
    <row r="25" spans="5:8" x14ac:dyDescent="0.25">
      <c r="G25" t="s">
        <v>156</v>
      </c>
      <c r="H25" s="96">
        <v>21</v>
      </c>
    </row>
    <row r="26" spans="5:8" x14ac:dyDescent="0.25">
      <c r="G26" t="s">
        <v>157</v>
      </c>
      <c r="H26" s="96">
        <v>22</v>
      </c>
    </row>
    <row r="27" spans="5:8" x14ac:dyDescent="0.25">
      <c r="G27" t="s">
        <v>158</v>
      </c>
    </row>
    <row r="28" spans="5:8" x14ac:dyDescent="0.25">
      <c r="G28" t="s">
        <v>159</v>
      </c>
    </row>
    <row r="29" spans="5:8" x14ac:dyDescent="0.25">
      <c r="G29" t="s">
        <v>160</v>
      </c>
    </row>
    <row r="30" spans="5:8" x14ac:dyDescent="0.25">
      <c r="G30" t="s">
        <v>161</v>
      </c>
    </row>
    <row r="31" spans="5:8" x14ac:dyDescent="0.25">
      <c r="G31" t="s">
        <v>162</v>
      </c>
    </row>
    <row r="32" spans="5:8" x14ac:dyDescent="0.25">
      <c r="G32" t="s">
        <v>163</v>
      </c>
    </row>
    <row r="33" spans="7:7" x14ac:dyDescent="0.25">
      <c r="G33" t="s">
        <v>164</v>
      </c>
    </row>
    <row r="34" spans="7:7" x14ac:dyDescent="0.25">
      <c r="G34" t="s">
        <v>165</v>
      </c>
    </row>
    <row r="35" spans="7:7" x14ac:dyDescent="0.25">
      <c r="G35" t="s">
        <v>166</v>
      </c>
    </row>
    <row r="36" spans="7:7" x14ac:dyDescent="0.25">
      <c r="G36" t="s">
        <v>167</v>
      </c>
    </row>
    <row r="37" spans="7:7" x14ac:dyDescent="0.25">
      <c r="G37" t="s">
        <v>168</v>
      </c>
    </row>
    <row r="38" spans="7:7" x14ac:dyDescent="0.25">
      <c r="G38" t="s">
        <v>169</v>
      </c>
    </row>
    <row r="39" spans="7:7" x14ac:dyDescent="0.25">
      <c r="G39" t="s">
        <v>170</v>
      </c>
    </row>
    <row r="40" spans="7:7" x14ac:dyDescent="0.25">
      <c r="G40" t="s">
        <v>171</v>
      </c>
    </row>
    <row r="41" spans="7:7" x14ac:dyDescent="0.25">
      <c r="G41" t="s">
        <v>207</v>
      </c>
    </row>
    <row r="42" spans="7:7" x14ac:dyDescent="0.25">
      <c r="G42" t="s">
        <v>234</v>
      </c>
    </row>
  </sheetData>
  <sheetProtection algorithmName="SHA-512" hashValue="UiVgePqeOZPotVbYs7jzQiN+oMwQdVJtEysLQKuLG9y53u15yyzQM0sZJ2YERloc30dIPACSwesYdxXOkOBZzg==" saltValue="392QLgKYHcOSmCJWWedLiA==" spinCount="100000" sheet="1" objects="1" scenarios="1"/>
  <pageMargins left="0.75" right="0.75" top="1" bottom="1" header="0.5" footer="0.5"/>
  <pageSetup orientation="portrait" horizontalDpi="4294967292" verticalDpi="4294967292" r:id="rId1"/>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XFD108"/>
  <sheetViews>
    <sheetView zoomScale="70" zoomScaleNormal="70" zoomScalePageLayoutView="150" workbookViewId="0">
      <pane xSplit="1" topLeftCell="B1" activePane="topRight" state="frozen"/>
      <selection pane="topRight" activeCell="D42" sqref="D42"/>
    </sheetView>
  </sheetViews>
  <sheetFormatPr defaultColWidth="11" defaultRowHeight="15.75" x14ac:dyDescent="0.25"/>
  <cols>
    <col min="1" max="1" width="38.875" customWidth="1"/>
    <col min="2" max="12" width="10.875" style="46" customWidth="1"/>
    <col min="13" max="24" width="10.875" style="306" customWidth="1"/>
    <col min="25" max="25" width="24" style="36" bestFit="1" customWidth="1"/>
    <col min="26" max="26" width="24.875" style="36" bestFit="1" customWidth="1"/>
    <col min="27" max="27" width="25" style="36" bestFit="1" customWidth="1"/>
    <col min="28" max="28" width="28.875" bestFit="1" customWidth="1"/>
    <col min="29" max="29" width="29.625" bestFit="1" customWidth="1"/>
    <col min="30" max="30" width="29.875" bestFit="1" customWidth="1"/>
  </cols>
  <sheetData>
    <row r="1" spans="1:16384" x14ac:dyDescent="0.25">
      <c r="A1" t="s">
        <v>12</v>
      </c>
      <c r="B1" s="46">
        <v>0</v>
      </c>
      <c r="C1" s="46">
        <v>1</v>
      </c>
      <c r="D1" s="46">
        <v>2</v>
      </c>
      <c r="E1" s="46">
        <v>3</v>
      </c>
      <c r="F1" s="46">
        <v>4</v>
      </c>
      <c r="G1" s="46">
        <v>5</v>
      </c>
      <c r="H1" s="46">
        <v>6</v>
      </c>
      <c r="I1" s="46">
        <v>7</v>
      </c>
      <c r="J1" s="46">
        <v>8</v>
      </c>
      <c r="K1" s="46">
        <v>9</v>
      </c>
      <c r="L1" s="46">
        <v>10</v>
      </c>
      <c r="M1" s="306">
        <v>11</v>
      </c>
      <c r="N1" s="306">
        <v>12</v>
      </c>
      <c r="O1" s="306">
        <v>13</v>
      </c>
      <c r="P1" s="306">
        <v>14</v>
      </c>
      <c r="Q1" s="306">
        <v>15</v>
      </c>
      <c r="R1" s="306">
        <v>16</v>
      </c>
      <c r="S1" s="306">
        <v>17</v>
      </c>
      <c r="T1" s="306">
        <v>18</v>
      </c>
      <c r="U1" s="306">
        <v>19</v>
      </c>
      <c r="V1" s="306">
        <v>20</v>
      </c>
      <c r="W1" s="306">
        <v>21</v>
      </c>
      <c r="X1" s="306">
        <v>22</v>
      </c>
      <c r="Y1" s="36" t="s">
        <v>431</v>
      </c>
      <c r="Z1" s="36" t="s">
        <v>432</v>
      </c>
      <c r="AA1" s="36" t="s">
        <v>433</v>
      </c>
      <c r="AB1" s="36" t="s">
        <v>434</v>
      </c>
      <c r="AC1" s="36" t="s">
        <v>435</v>
      </c>
      <c r="AD1" s="36" t="s">
        <v>436</v>
      </c>
    </row>
    <row r="2" spans="1:16384" x14ac:dyDescent="0.25">
      <c r="A2" s="56" t="s">
        <v>226</v>
      </c>
      <c r="B2" s="307" t="s">
        <v>173</v>
      </c>
      <c r="C2" s="307">
        <v>12711.11</v>
      </c>
      <c r="D2" s="307">
        <v>13200</v>
      </c>
      <c r="E2" s="307">
        <v>13711.11</v>
      </c>
      <c r="F2" s="307">
        <v>14222.22</v>
      </c>
      <c r="G2" s="307" t="s">
        <v>173</v>
      </c>
      <c r="H2" s="307" t="s">
        <v>173</v>
      </c>
      <c r="I2" s="307" t="s">
        <v>173</v>
      </c>
      <c r="J2" s="307" t="s">
        <v>173</v>
      </c>
      <c r="K2" s="307" t="s">
        <v>173</v>
      </c>
      <c r="L2" s="307" t="s">
        <v>173</v>
      </c>
      <c r="M2" s="34" t="s">
        <v>173</v>
      </c>
      <c r="N2" s="34" t="s">
        <v>173</v>
      </c>
      <c r="O2" s="34" t="s">
        <v>173</v>
      </c>
      <c r="P2" s="34" t="s">
        <v>173</v>
      </c>
      <c r="Q2" s="34" t="s">
        <v>173</v>
      </c>
      <c r="R2" s="34" t="s">
        <v>173</v>
      </c>
      <c r="S2" s="34" t="s">
        <v>173</v>
      </c>
      <c r="T2" s="34" t="s">
        <v>173</v>
      </c>
      <c r="U2" s="34" t="s">
        <v>173</v>
      </c>
      <c r="V2" s="34" t="s">
        <v>173</v>
      </c>
      <c r="W2" s="34" t="s">
        <v>173</v>
      </c>
      <c r="X2" s="34" t="s">
        <v>173</v>
      </c>
      <c r="Y2" s="36">
        <v>7.4999999999999997E-2</v>
      </c>
      <c r="Z2" s="36">
        <v>0.375</v>
      </c>
      <c r="AA2" s="36" t="s">
        <v>173</v>
      </c>
      <c r="AB2" s="36">
        <v>9.64E-2</v>
      </c>
      <c r="AC2" s="36">
        <v>0.39639999999999997</v>
      </c>
      <c r="AD2" s="36" t="s">
        <v>173</v>
      </c>
    </row>
    <row r="3" spans="1:16384" x14ac:dyDescent="0.25">
      <c r="A3" s="56" t="s">
        <v>227</v>
      </c>
      <c r="B3" s="307" t="s">
        <v>173</v>
      </c>
      <c r="C3" s="307">
        <v>10477.780000000001</v>
      </c>
      <c r="D3" s="307">
        <v>11011.11</v>
      </c>
      <c r="E3" s="307">
        <v>11555.56</v>
      </c>
      <c r="F3" s="307">
        <v>12166.67</v>
      </c>
      <c r="G3" s="307">
        <v>12700</v>
      </c>
      <c r="H3" s="307" t="s">
        <v>173</v>
      </c>
      <c r="I3" s="307" t="s">
        <v>173</v>
      </c>
      <c r="J3" s="307" t="s">
        <v>173</v>
      </c>
      <c r="K3" s="307" t="s">
        <v>173</v>
      </c>
      <c r="L3" s="307" t="s">
        <v>173</v>
      </c>
      <c r="M3" s="34" t="s">
        <v>173</v>
      </c>
      <c r="N3" s="34" t="s">
        <v>173</v>
      </c>
      <c r="O3" s="34" t="s">
        <v>173</v>
      </c>
      <c r="P3" s="34" t="s">
        <v>173</v>
      </c>
      <c r="Q3" s="34" t="s">
        <v>173</v>
      </c>
      <c r="R3" s="34" t="s">
        <v>173</v>
      </c>
      <c r="S3" s="34" t="s">
        <v>173</v>
      </c>
      <c r="T3" s="34" t="s">
        <v>173</v>
      </c>
      <c r="U3" s="34" t="s">
        <v>173</v>
      </c>
      <c r="V3" s="34" t="s">
        <v>173</v>
      </c>
      <c r="W3" s="34" t="s">
        <v>173</v>
      </c>
      <c r="X3" s="34" t="s">
        <v>173</v>
      </c>
      <c r="Y3" s="36">
        <v>7.4999999999999997E-2</v>
      </c>
      <c r="Z3" s="36">
        <v>0.375</v>
      </c>
      <c r="AA3" s="36" t="s">
        <v>173</v>
      </c>
      <c r="AB3" s="36">
        <v>9.64E-2</v>
      </c>
      <c r="AC3" s="36">
        <v>0.39639999999999997</v>
      </c>
      <c r="AD3" s="36" t="s">
        <v>173</v>
      </c>
    </row>
    <row r="4" spans="1:16384" x14ac:dyDescent="0.25">
      <c r="A4" s="56" t="s">
        <v>228</v>
      </c>
      <c r="B4" s="307" t="s">
        <v>173</v>
      </c>
      <c r="C4" s="307">
        <v>14233.33</v>
      </c>
      <c r="D4" s="307">
        <v>14844.44</v>
      </c>
      <c r="E4" s="307">
        <v>15566.67</v>
      </c>
      <c r="F4" s="307">
        <v>16355.56</v>
      </c>
      <c r="G4" s="307">
        <v>17277.78</v>
      </c>
      <c r="H4" s="307">
        <v>18511.11</v>
      </c>
      <c r="I4" s="307">
        <v>19822.22</v>
      </c>
      <c r="J4" s="307">
        <v>21233.33</v>
      </c>
      <c r="K4" s="307">
        <v>22922.22</v>
      </c>
      <c r="L4" s="307" t="s">
        <v>173</v>
      </c>
      <c r="M4" s="34" t="s">
        <v>173</v>
      </c>
      <c r="N4" s="34" t="s">
        <v>173</v>
      </c>
      <c r="O4" s="34" t="s">
        <v>173</v>
      </c>
      <c r="P4" s="34" t="s">
        <v>173</v>
      </c>
      <c r="Q4" s="34" t="s">
        <v>173</v>
      </c>
      <c r="R4" s="34" t="s">
        <v>173</v>
      </c>
      <c r="S4" s="34" t="s">
        <v>173</v>
      </c>
      <c r="T4" s="34" t="s">
        <v>173</v>
      </c>
      <c r="U4" s="34" t="s">
        <v>173</v>
      </c>
      <c r="V4" s="34" t="s">
        <v>173</v>
      </c>
      <c r="W4" s="34" t="s">
        <v>173</v>
      </c>
      <c r="X4" s="34" t="s">
        <v>173</v>
      </c>
      <c r="Y4" s="36">
        <v>7.4999999999999997E-2</v>
      </c>
      <c r="Z4" s="36">
        <v>0.375</v>
      </c>
      <c r="AA4" s="36" t="s">
        <v>173</v>
      </c>
      <c r="AB4" s="36">
        <v>9.64E-2</v>
      </c>
      <c r="AC4" s="36">
        <v>0.39639999999999997</v>
      </c>
      <c r="AD4" s="36" t="s">
        <v>173</v>
      </c>
    </row>
    <row r="5" spans="1:16384" x14ac:dyDescent="0.25">
      <c r="A5" s="56" t="s">
        <v>408</v>
      </c>
      <c r="B5" s="307" t="s">
        <v>173</v>
      </c>
      <c r="C5" s="307" t="s">
        <v>214</v>
      </c>
      <c r="D5" s="307" t="s">
        <v>214</v>
      </c>
      <c r="E5" s="307" t="s">
        <v>214</v>
      </c>
      <c r="F5" s="307" t="s">
        <v>214</v>
      </c>
      <c r="G5" s="307" t="s">
        <v>214</v>
      </c>
      <c r="H5" s="307" t="s">
        <v>214</v>
      </c>
      <c r="I5" s="307" t="s">
        <v>214</v>
      </c>
      <c r="J5" s="307" t="s">
        <v>214</v>
      </c>
      <c r="K5" s="307" t="s">
        <v>214</v>
      </c>
      <c r="L5" s="307" t="s">
        <v>214</v>
      </c>
      <c r="M5" s="34" t="s">
        <v>214</v>
      </c>
      <c r="N5" s="34" t="s">
        <v>214</v>
      </c>
      <c r="O5" s="34" t="s">
        <v>214</v>
      </c>
      <c r="P5" s="34" t="s">
        <v>214</v>
      </c>
      <c r="Q5" s="34" t="s">
        <v>214</v>
      </c>
      <c r="R5" s="34" t="s">
        <v>214</v>
      </c>
      <c r="S5" s="34" t="s">
        <v>214</v>
      </c>
      <c r="T5" s="34" t="s">
        <v>214</v>
      </c>
      <c r="U5" s="34" t="s">
        <v>214</v>
      </c>
      <c r="V5" s="34" t="s">
        <v>214</v>
      </c>
      <c r="W5" s="34" t="s">
        <v>214</v>
      </c>
      <c r="X5" s="34" t="s">
        <v>214</v>
      </c>
      <c r="Y5" s="36" t="s">
        <v>173</v>
      </c>
      <c r="Z5" s="36" t="s">
        <v>173</v>
      </c>
      <c r="AA5" s="36">
        <v>6.3E-2</v>
      </c>
      <c r="AB5" s="36" t="s">
        <v>173</v>
      </c>
      <c r="AC5" s="36" t="s">
        <v>173</v>
      </c>
      <c r="AD5" s="36">
        <v>8.4400000000000003E-2</v>
      </c>
    </row>
    <row r="6" spans="1:16384" x14ac:dyDescent="0.25">
      <c r="A6" t="s">
        <v>145</v>
      </c>
      <c r="B6" s="307" t="s">
        <v>173</v>
      </c>
      <c r="C6" s="307">
        <v>8741.67</v>
      </c>
      <c r="D6" s="307">
        <v>9066.67</v>
      </c>
      <c r="E6" s="307">
        <v>9425</v>
      </c>
      <c r="F6" s="307">
        <v>9683.33</v>
      </c>
      <c r="G6" s="307" t="s">
        <v>173</v>
      </c>
      <c r="H6" s="307" t="s">
        <v>173</v>
      </c>
      <c r="I6" s="307" t="s">
        <v>173</v>
      </c>
      <c r="J6" s="307" t="s">
        <v>173</v>
      </c>
      <c r="K6" s="307" t="s">
        <v>173</v>
      </c>
      <c r="L6" s="307" t="s">
        <v>173</v>
      </c>
      <c r="M6" s="34" t="s">
        <v>173</v>
      </c>
      <c r="N6" s="34" t="s">
        <v>173</v>
      </c>
      <c r="O6" s="34" t="s">
        <v>173</v>
      </c>
      <c r="P6" s="34" t="s">
        <v>173</v>
      </c>
      <c r="Q6" s="34" t="s">
        <v>173</v>
      </c>
      <c r="R6" s="34" t="s">
        <v>173</v>
      </c>
      <c r="S6" s="34" t="s">
        <v>173</v>
      </c>
      <c r="T6" s="34" t="s">
        <v>173</v>
      </c>
      <c r="U6" s="34" t="s">
        <v>173</v>
      </c>
      <c r="V6" s="34" t="s">
        <v>173</v>
      </c>
      <c r="W6" s="34" t="s">
        <v>173</v>
      </c>
      <c r="X6" s="34" t="s">
        <v>173</v>
      </c>
      <c r="Y6" s="36" t="s">
        <v>173</v>
      </c>
      <c r="Z6" s="36" t="s">
        <v>173</v>
      </c>
      <c r="AA6" s="36">
        <v>0.45500000000000002</v>
      </c>
      <c r="AB6" s="36" t="s">
        <v>173</v>
      </c>
      <c r="AC6" s="36" t="s">
        <v>173</v>
      </c>
      <c r="AD6" s="36">
        <v>0.47639999999999999</v>
      </c>
    </row>
    <row r="7" spans="1:16384" ht="15" customHeight="1" x14ac:dyDescent="0.25">
      <c r="A7" s="24" t="s">
        <v>146</v>
      </c>
      <c r="B7" s="307" t="s">
        <v>173</v>
      </c>
      <c r="C7" s="308">
        <v>7216.67</v>
      </c>
      <c r="D7" s="308">
        <v>7583.33</v>
      </c>
      <c r="E7" s="308">
        <v>7991.67</v>
      </c>
      <c r="F7" s="308">
        <v>8358.33</v>
      </c>
      <c r="G7" s="307">
        <v>8733.33</v>
      </c>
      <c r="H7" s="307" t="s">
        <v>173</v>
      </c>
      <c r="I7" s="307" t="s">
        <v>173</v>
      </c>
      <c r="J7" s="307" t="s">
        <v>173</v>
      </c>
      <c r="K7" s="307" t="s">
        <v>173</v>
      </c>
      <c r="L7" s="307" t="s">
        <v>173</v>
      </c>
      <c r="M7" s="34" t="s">
        <v>173</v>
      </c>
      <c r="N7" s="34" t="s">
        <v>173</v>
      </c>
      <c r="O7" s="34" t="s">
        <v>173</v>
      </c>
      <c r="P7" s="34" t="s">
        <v>173</v>
      </c>
      <c r="Q7" s="34" t="s">
        <v>173</v>
      </c>
      <c r="R7" s="34" t="s">
        <v>173</v>
      </c>
      <c r="S7" s="34" t="s">
        <v>173</v>
      </c>
      <c r="T7" s="34" t="s">
        <v>173</v>
      </c>
      <c r="U7" s="34" t="s">
        <v>173</v>
      </c>
      <c r="V7" s="34" t="s">
        <v>173</v>
      </c>
      <c r="W7" s="34" t="s">
        <v>173</v>
      </c>
      <c r="X7" s="34" t="s">
        <v>173</v>
      </c>
      <c r="Y7" s="36" t="s">
        <v>173</v>
      </c>
      <c r="Z7" s="36" t="s">
        <v>173</v>
      </c>
      <c r="AA7" s="58">
        <v>0.45500000000000002</v>
      </c>
      <c r="AB7" s="36" t="s">
        <v>173</v>
      </c>
      <c r="AC7" s="36" t="s">
        <v>173</v>
      </c>
      <c r="AD7" s="58">
        <v>0.47639999999999999</v>
      </c>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4"/>
      <c r="CP7" s="24"/>
      <c r="CQ7" s="24"/>
      <c r="CR7" s="24"/>
      <c r="CS7" s="24"/>
      <c r="CT7" s="24"/>
      <c r="CU7" s="24"/>
      <c r="CV7" s="24"/>
      <c r="CW7" s="24"/>
      <c r="CX7" s="24"/>
      <c r="CY7" s="24"/>
      <c r="CZ7" s="24"/>
      <c r="DA7" s="24"/>
      <c r="DB7" s="24"/>
      <c r="DC7" s="24"/>
      <c r="DD7" s="24"/>
      <c r="DE7" s="24"/>
      <c r="DF7" s="24"/>
      <c r="DG7" s="24"/>
      <c r="DH7" s="24"/>
      <c r="DI7" s="24"/>
      <c r="DJ7" s="24"/>
      <c r="DK7" s="24"/>
      <c r="DL7" s="24"/>
      <c r="DM7" s="24"/>
      <c r="DN7" s="24"/>
      <c r="DO7" s="24"/>
      <c r="DP7" s="24"/>
      <c r="DQ7" s="24"/>
      <c r="DR7" s="24"/>
      <c r="DS7" s="24"/>
      <c r="DT7" s="24"/>
      <c r="DU7" s="24"/>
      <c r="DV7" s="24"/>
      <c r="DW7" s="24"/>
      <c r="DX7" s="24"/>
      <c r="DY7" s="24"/>
      <c r="DZ7" s="24"/>
      <c r="EA7" s="24"/>
      <c r="EB7" s="24"/>
      <c r="EC7" s="24"/>
      <c r="ED7" s="24"/>
      <c r="EE7" s="24"/>
      <c r="EF7" s="24"/>
      <c r="EG7" s="24"/>
      <c r="EH7" s="24"/>
      <c r="EI7" s="24"/>
      <c r="EJ7" s="24"/>
      <c r="EK7" s="24"/>
      <c r="EL7" s="24"/>
      <c r="EM7" s="24"/>
      <c r="EN7" s="24"/>
      <c r="EO7" s="24"/>
      <c r="EP7" s="24"/>
      <c r="EQ7" s="24"/>
      <c r="ER7" s="24"/>
      <c r="ES7" s="24"/>
      <c r="ET7" s="24"/>
      <c r="EU7" s="24"/>
      <c r="EV7" s="24"/>
      <c r="EW7" s="24"/>
      <c r="EX7" s="24"/>
      <c r="EY7" s="24"/>
      <c r="EZ7" s="24"/>
      <c r="FA7" s="24"/>
      <c r="FB7" s="24"/>
      <c r="FC7" s="24"/>
      <c r="FD7" s="24"/>
      <c r="FE7" s="24"/>
      <c r="FF7" s="24"/>
      <c r="FG7" s="24"/>
      <c r="FH7" s="24"/>
      <c r="FI7" s="24"/>
      <c r="FJ7" s="24"/>
      <c r="FK7" s="24"/>
      <c r="FL7" s="24"/>
      <c r="FM7" s="24"/>
      <c r="FN7" s="24"/>
      <c r="FO7" s="24"/>
      <c r="FP7" s="24"/>
      <c r="FQ7" s="24"/>
      <c r="FR7" s="24"/>
      <c r="FS7" s="24"/>
      <c r="FT7" s="24"/>
      <c r="FU7" s="24"/>
      <c r="FV7" s="24"/>
      <c r="FW7" s="24"/>
      <c r="FX7" s="24"/>
      <c r="FY7" s="24"/>
      <c r="FZ7" s="24"/>
      <c r="GA7" s="24"/>
      <c r="GB7" s="24"/>
      <c r="GC7" s="24"/>
      <c r="GD7" s="24"/>
      <c r="GE7" s="24"/>
      <c r="GF7" s="24"/>
      <c r="GG7" s="24"/>
      <c r="GH7" s="24"/>
      <c r="GI7" s="24"/>
      <c r="GJ7" s="24"/>
      <c r="GK7" s="24"/>
      <c r="GL7" s="24"/>
      <c r="GM7" s="24"/>
      <c r="GN7" s="24"/>
      <c r="GO7" s="24"/>
      <c r="GP7" s="24"/>
      <c r="GQ7" s="24"/>
      <c r="GR7" s="24"/>
      <c r="GS7" s="24"/>
      <c r="GT7" s="24"/>
      <c r="GU7" s="24"/>
      <c r="GV7" s="24"/>
      <c r="GW7" s="24"/>
      <c r="GX7" s="24"/>
      <c r="GY7" s="24"/>
      <c r="GZ7" s="24"/>
      <c r="HA7" s="24"/>
      <c r="HB7" s="24"/>
      <c r="HC7" s="24"/>
      <c r="HD7" s="24"/>
      <c r="HE7" s="24"/>
      <c r="HF7" s="24"/>
      <c r="HG7" s="24"/>
      <c r="HH7" s="24"/>
      <c r="HI7" s="24"/>
      <c r="HJ7" s="24"/>
      <c r="HK7" s="24"/>
      <c r="HL7" s="24"/>
      <c r="HM7" s="24"/>
      <c r="HN7" s="24"/>
      <c r="HO7" s="24"/>
      <c r="HP7" s="24"/>
      <c r="HQ7" s="24"/>
      <c r="HR7" s="24"/>
      <c r="HS7" s="24"/>
      <c r="HT7" s="24"/>
      <c r="HU7" s="24"/>
      <c r="HV7" s="24"/>
      <c r="HW7" s="24"/>
      <c r="HX7" s="24"/>
      <c r="HY7" s="24"/>
      <c r="HZ7" s="24"/>
      <c r="IA7" s="24"/>
      <c r="IB7" s="24"/>
      <c r="IC7" s="24"/>
      <c r="ID7" s="24"/>
      <c r="IE7" s="24"/>
      <c r="IF7" s="24"/>
      <c r="IG7" s="24"/>
      <c r="IH7" s="24"/>
      <c r="II7" s="24"/>
      <c r="IJ7" s="24"/>
      <c r="IK7" s="24"/>
      <c r="IL7" s="24"/>
      <c r="IM7" s="24"/>
      <c r="IN7" s="24"/>
      <c r="IO7" s="24"/>
      <c r="IP7" s="24"/>
      <c r="IQ7" s="24"/>
      <c r="IR7" s="24"/>
      <c r="IS7" s="24"/>
      <c r="IT7" s="24"/>
      <c r="IU7" s="24"/>
      <c r="IV7" s="24"/>
      <c r="IW7" s="24"/>
      <c r="IX7" s="24"/>
      <c r="IY7" s="24"/>
      <c r="IZ7" s="24"/>
      <c r="JA7" s="24"/>
      <c r="JB7" s="24"/>
      <c r="JC7" s="24"/>
      <c r="JD7" s="24"/>
      <c r="JE7" s="24"/>
      <c r="JF7" s="24"/>
      <c r="JG7" s="24"/>
      <c r="JH7" s="24"/>
      <c r="JI7" s="24"/>
      <c r="JJ7" s="24"/>
      <c r="JK7" s="24"/>
      <c r="JL7" s="24"/>
      <c r="JM7" s="24"/>
      <c r="JN7" s="24"/>
      <c r="JO7" s="24"/>
      <c r="JP7" s="24"/>
      <c r="JQ7" s="24"/>
      <c r="JR7" s="24"/>
      <c r="JS7" s="24"/>
      <c r="JT7" s="24"/>
      <c r="JU7" s="24"/>
      <c r="JV7" s="24"/>
      <c r="JW7" s="24"/>
      <c r="JX7" s="24"/>
      <c r="JY7" s="24"/>
      <c r="JZ7" s="24"/>
      <c r="KA7" s="24"/>
      <c r="KB7" s="24"/>
      <c r="KC7" s="24"/>
      <c r="KD7" s="24"/>
      <c r="KE7" s="24"/>
      <c r="KF7" s="24"/>
      <c r="KG7" s="24"/>
      <c r="KH7" s="24"/>
      <c r="KI7" s="24"/>
      <c r="KJ7" s="24"/>
      <c r="KK7" s="24"/>
      <c r="KL7" s="24"/>
      <c r="KM7" s="24"/>
      <c r="KN7" s="24"/>
      <c r="KO7" s="24"/>
      <c r="KP7" s="24"/>
      <c r="KQ7" s="24"/>
      <c r="KR7" s="24"/>
      <c r="KS7" s="24"/>
      <c r="KT7" s="24"/>
      <c r="KU7" s="24"/>
      <c r="KV7" s="24"/>
      <c r="KW7" s="24"/>
      <c r="KX7" s="24"/>
      <c r="KY7" s="24"/>
      <c r="KZ7" s="24"/>
      <c r="LA7" s="24"/>
      <c r="LB7" s="24"/>
      <c r="LC7" s="24"/>
      <c r="LD7" s="24"/>
      <c r="LE7" s="24"/>
      <c r="LF7" s="24"/>
      <c r="LG7" s="24"/>
      <c r="LH7" s="24"/>
      <c r="LI7" s="24"/>
      <c r="LJ7" s="24"/>
      <c r="LK7" s="24"/>
      <c r="LL7" s="24"/>
      <c r="LM7" s="24"/>
      <c r="LN7" s="24"/>
      <c r="LO7" s="24"/>
      <c r="LP7" s="24"/>
      <c r="LQ7" s="24"/>
      <c r="LR7" s="24"/>
      <c r="LS7" s="24"/>
      <c r="LT7" s="24"/>
      <c r="LU7" s="24"/>
      <c r="LV7" s="24"/>
      <c r="LW7" s="24"/>
      <c r="LX7" s="24"/>
      <c r="LY7" s="24"/>
      <c r="LZ7" s="24"/>
      <c r="MA7" s="24"/>
      <c r="MB7" s="24"/>
      <c r="MC7" s="24"/>
      <c r="MD7" s="24"/>
      <c r="ME7" s="24"/>
      <c r="MF7" s="24"/>
      <c r="MG7" s="24"/>
      <c r="MH7" s="24"/>
      <c r="MI7" s="24"/>
      <c r="MJ7" s="24"/>
      <c r="MK7" s="24"/>
      <c r="ML7" s="24"/>
      <c r="MM7" s="24"/>
      <c r="MN7" s="24"/>
      <c r="MO7" s="24"/>
      <c r="MP7" s="24"/>
      <c r="MQ7" s="24"/>
      <c r="MR7" s="24"/>
      <c r="MS7" s="24"/>
      <c r="MT7" s="24"/>
      <c r="MU7" s="24"/>
      <c r="MV7" s="24"/>
      <c r="MW7" s="24"/>
      <c r="MX7" s="24"/>
      <c r="MY7" s="24"/>
      <c r="MZ7" s="24"/>
      <c r="NA7" s="24"/>
      <c r="NB7" s="24"/>
      <c r="NC7" s="24"/>
      <c r="ND7" s="24"/>
      <c r="NE7" s="24"/>
      <c r="NF7" s="24"/>
      <c r="NG7" s="24"/>
      <c r="NH7" s="24"/>
      <c r="NI7" s="24"/>
      <c r="NJ7" s="24"/>
      <c r="NK7" s="24"/>
      <c r="NL7" s="24"/>
      <c r="NM7" s="24"/>
      <c r="NN7" s="24"/>
      <c r="NO7" s="24"/>
      <c r="NP7" s="24"/>
      <c r="NQ7" s="24"/>
      <c r="NR7" s="24"/>
      <c r="NS7" s="24"/>
      <c r="NT7" s="24"/>
      <c r="NU7" s="24"/>
      <c r="NV7" s="24"/>
      <c r="NW7" s="24"/>
      <c r="NX7" s="24"/>
      <c r="NY7" s="24"/>
      <c r="NZ7" s="24"/>
      <c r="OA7" s="24"/>
      <c r="OB7" s="24"/>
      <c r="OC7" s="24"/>
      <c r="OD7" s="24"/>
      <c r="OE7" s="24"/>
      <c r="OF7" s="24"/>
      <c r="OG7" s="24"/>
      <c r="OH7" s="24"/>
      <c r="OI7" s="24"/>
      <c r="OJ7" s="24"/>
      <c r="OK7" s="24"/>
      <c r="OL7" s="24"/>
      <c r="OM7" s="24"/>
      <c r="ON7" s="24"/>
      <c r="OO7" s="24"/>
      <c r="OP7" s="24"/>
      <c r="OQ7" s="24"/>
      <c r="OR7" s="24"/>
      <c r="OS7" s="24"/>
      <c r="OT7" s="24"/>
      <c r="OU7" s="24"/>
      <c r="OV7" s="24"/>
      <c r="OW7" s="24"/>
      <c r="OX7" s="24"/>
      <c r="OY7" s="24"/>
      <c r="OZ7" s="24"/>
      <c r="PA7" s="24"/>
      <c r="PB7" s="24"/>
      <c r="PC7" s="24"/>
      <c r="PD7" s="24"/>
      <c r="PE7" s="24"/>
      <c r="PF7" s="24"/>
      <c r="PG7" s="24"/>
      <c r="PH7" s="24"/>
      <c r="PI7" s="24"/>
      <c r="PJ7" s="24"/>
      <c r="PK7" s="24"/>
      <c r="PL7" s="24"/>
      <c r="PM7" s="24"/>
      <c r="PN7" s="24"/>
      <c r="PO7" s="24"/>
      <c r="PP7" s="24"/>
      <c r="PQ7" s="24"/>
      <c r="PR7" s="24"/>
      <c r="PS7" s="24"/>
      <c r="PT7" s="24"/>
      <c r="PU7" s="24"/>
      <c r="PV7" s="24"/>
      <c r="PW7" s="24"/>
      <c r="PX7" s="24"/>
      <c r="PY7" s="24"/>
      <c r="PZ7" s="24"/>
      <c r="QA7" s="24"/>
      <c r="QB7" s="24"/>
      <c r="QC7" s="24"/>
      <c r="QD7" s="24"/>
      <c r="QE7" s="24"/>
      <c r="QF7" s="24"/>
      <c r="QG7" s="24"/>
      <c r="QH7" s="24"/>
      <c r="QI7" s="24"/>
      <c r="QJ7" s="24"/>
      <c r="QK7" s="24"/>
      <c r="QL7" s="24"/>
      <c r="QM7" s="24"/>
      <c r="QN7" s="24"/>
      <c r="QO7" s="24"/>
      <c r="QP7" s="24"/>
      <c r="QQ7" s="24"/>
      <c r="QR7" s="24"/>
      <c r="QS7" s="24"/>
      <c r="QT7" s="24"/>
      <c r="QU7" s="24"/>
      <c r="QV7" s="24"/>
      <c r="QW7" s="24"/>
      <c r="QX7" s="24"/>
      <c r="QY7" s="24"/>
      <c r="QZ7" s="24"/>
      <c r="RA7" s="24"/>
      <c r="RB7" s="24"/>
      <c r="RC7" s="24"/>
      <c r="RD7" s="24"/>
      <c r="RE7" s="24"/>
      <c r="RF7" s="24"/>
      <c r="RG7" s="24"/>
      <c r="RH7" s="24"/>
      <c r="RI7" s="24"/>
      <c r="RJ7" s="24"/>
      <c r="RK7" s="24"/>
      <c r="RL7" s="24"/>
      <c r="RM7" s="24"/>
      <c r="RN7" s="24"/>
      <c r="RO7" s="24"/>
      <c r="RP7" s="24"/>
      <c r="RQ7" s="24"/>
      <c r="RR7" s="24"/>
      <c r="RS7" s="24"/>
      <c r="RT7" s="24"/>
      <c r="RU7" s="24"/>
      <c r="RV7" s="24"/>
      <c r="RW7" s="24"/>
      <c r="RX7" s="24"/>
      <c r="RY7" s="24"/>
      <c r="RZ7" s="24"/>
      <c r="SA7" s="24"/>
      <c r="SB7" s="24"/>
      <c r="SC7" s="24"/>
      <c r="SD7" s="24"/>
      <c r="SE7" s="24"/>
      <c r="SF7" s="24"/>
      <c r="SG7" s="24"/>
      <c r="SH7" s="24"/>
      <c r="SI7" s="24"/>
      <c r="SJ7" s="24"/>
      <c r="SK7" s="24"/>
      <c r="SL7" s="24"/>
      <c r="SM7" s="24"/>
      <c r="SN7" s="24"/>
      <c r="SO7" s="24"/>
      <c r="SP7" s="24"/>
      <c r="SQ7" s="24"/>
      <c r="SR7" s="24"/>
      <c r="SS7" s="24"/>
      <c r="ST7" s="24"/>
      <c r="SU7" s="24"/>
      <c r="SV7" s="24"/>
      <c r="SW7" s="24"/>
      <c r="SX7" s="24"/>
      <c r="SY7" s="24"/>
      <c r="SZ7" s="24"/>
      <c r="TA7" s="24"/>
      <c r="TB7" s="24"/>
      <c r="TC7" s="24"/>
      <c r="TD7" s="24"/>
      <c r="TE7" s="24"/>
      <c r="TF7" s="24"/>
      <c r="TG7" s="24"/>
      <c r="TH7" s="24"/>
      <c r="TI7" s="24"/>
      <c r="TJ7" s="24"/>
      <c r="TK7" s="24"/>
      <c r="TL7" s="24"/>
      <c r="TM7" s="24"/>
      <c r="TN7" s="24"/>
      <c r="TO7" s="24"/>
      <c r="TP7" s="24"/>
      <c r="TQ7" s="24"/>
      <c r="TR7" s="24"/>
      <c r="TS7" s="24"/>
      <c r="TT7" s="24"/>
      <c r="TU7" s="24"/>
      <c r="TV7" s="24"/>
      <c r="TW7" s="24"/>
      <c r="TX7" s="24"/>
      <c r="TY7" s="24"/>
      <c r="TZ7" s="24"/>
      <c r="UA7" s="24"/>
      <c r="UB7" s="24"/>
      <c r="UC7" s="24"/>
      <c r="UD7" s="24"/>
      <c r="UE7" s="24"/>
      <c r="UF7" s="24"/>
      <c r="UG7" s="24"/>
      <c r="UH7" s="24"/>
      <c r="UI7" s="24"/>
      <c r="UJ7" s="24"/>
      <c r="UK7" s="24"/>
      <c r="UL7" s="24"/>
      <c r="UM7" s="24"/>
      <c r="UN7" s="24"/>
      <c r="UO7" s="24"/>
      <c r="UP7" s="24"/>
      <c r="UQ7" s="24"/>
      <c r="UR7" s="24"/>
      <c r="US7" s="24"/>
      <c r="UT7" s="24"/>
      <c r="UU7" s="24"/>
      <c r="UV7" s="24"/>
      <c r="UW7" s="24"/>
      <c r="UX7" s="24"/>
      <c r="UY7" s="24"/>
      <c r="UZ7" s="24"/>
      <c r="VA7" s="24"/>
      <c r="VB7" s="24"/>
      <c r="VC7" s="24"/>
      <c r="VD7" s="24"/>
      <c r="VE7" s="24"/>
      <c r="VF7" s="24"/>
      <c r="VG7" s="24"/>
      <c r="VH7" s="24"/>
      <c r="VI7" s="24"/>
      <c r="VJ7" s="24"/>
      <c r="VK7" s="24"/>
      <c r="VL7" s="24"/>
      <c r="VM7" s="24"/>
      <c r="VN7" s="24"/>
      <c r="VO7" s="24"/>
      <c r="VP7" s="24"/>
      <c r="VQ7" s="24"/>
      <c r="VR7" s="24"/>
      <c r="VS7" s="24"/>
      <c r="VT7" s="24"/>
      <c r="VU7" s="24"/>
      <c r="VV7" s="24"/>
      <c r="VW7" s="24"/>
      <c r="VX7" s="24"/>
      <c r="VY7" s="24"/>
      <c r="VZ7" s="24"/>
      <c r="WA7" s="24"/>
      <c r="WB7" s="24"/>
      <c r="WC7" s="24"/>
      <c r="WD7" s="24"/>
      <c r="WE7" s="24"/>
      <c r="WF7" s="24"/>
      <c r="WG7" s="24"/>
      <c r="WH7" s="24"/>
      <c r="WI7" s="24"/>
      <c r="WJ7" s="24"/>
      <c r="WK7" s="24"/>
      <c r="WL7" s="24"/>
      <c r="WM7" s="24"/>
      <c r="WN7" s="24"/>
      <c r="WO7" s="24"/>
      <c r="WP7" s="24"/>
      <c r="WQ7" s="24"/>
      <c r="WR7" s="24"/>
      <c r="WS7" s="24"/>
      <c r="WT7" s="24"/>
      <c r="WU7" s="24"/>
      <c r="WV7" s="24"/>
      <c r="WW7" s="24"/>
      <c r="WX7" s="24"/>
      <c r="WY7" s="24"/>
      <c r="WZ7" s="24"/>
      <c r="XA7" s="24"/>
      <c r="XB7" s="24"/>
      <c r="XC7" s="24"/>
      <c r="XD7" s="24"/>
      <c r="XE7" s="24"/>
      <c r="XF7" s="24"/>
      <c r="XG7" s="24"/>
      <c r="XH7" s="24"/>
      <c r="XI7" s="24"/>
      <c r="XJ7" s="24"/>
      <c r="XK7" s="24"/>
      <c r="XL7" s="24"/>
      <c r="XM7" s="24"/>
      <c r="XN7" s="24"/>
      <c r="XO7" s="24"/>
      <c r="XP7" s="24"/>
      <c r="XQ7" s="24"/>
      <c r="XR7" s="24"/>
      <c r="XS7" s="24"/>
      <c r="XT7" s="24"/>
      <c r="XU7" s="24"/>
      <c r="XV7" s="24"/>
      <c r="XW7" s="24"/>
      <c r="XX7" s="24"/>
      <c r="XY7" s="24"/>
      <c r="XZ7" s="24"/>
      <c r="YA7" s="24"/>
      <c r="YB7" s="24"/>
      <c r="YC7" s="24"/>
      <c r="YD7" s="24"/>
      <c r="YE7" s="24"/>
      <c r="YF7" s="24"/>
      <c r="YG7" s="24"/>
      <c r="YH7" s="24"/>
      <c r="YI7" s="24"/>
      <c r="YJ7" s="24"/>
      <c r="YK7" s="24"/>
      <c r="YL7" s="24"/>
      <c r="YM7" s="24"/>
      <c r="YN7" s="24"/>
      <c r="YO7" s="24"/>
      <c r="YP7" s="24"/>
      <c r="YQ7" s="24"/>
      <c r="YR7" s="24"/>
      <c r="YS7" s="24"/>
      <c r="YT7" s="24"/>
      <c r="YU7" s="24"/>
      <c r="YV7" s="24"/>
      <c r="YW7" s="24"/>
      <c r="YX7" s="24"/>
      <c r="YY7" s="24"/>
      <c r="YZ7" s="24"/>
      <c r="ZA7" s="24"/>
      <c r="ZB7" s="24"/>
      <c r="ZC7" s="24"/>
      <c r="ZD7" s="24"/>
      <c r="ZE7" s="24"/>
      <c r="ZF7" s="24"/>
      <c r="ZG7" s="24"/>
      <c r="ZH7" s="24"/>
      <c r="ZI7" s="24"/>
      <c r="ZJ7" s="24"/>
      <c r="ZK7" s="24"/>
      <c r="ZL7" s="24"/>
      <c r="ZM7" s="24"/>
      <c r="ZN7" s="24"/>
      <c r="ZO7" s="24"/>
      <c r="ZP7" s="24"/>
      <c r="ZQ7" s="24"/>
      <c r="ZR7" s="24"/>
      <c r="ZS7" s="24"/>
      <c r="ZT7" s="24"/>
      <c r="ZU7" s="24"/>
      <c r="ZV7" s="24"/>
      <c r="ZW7" s="24"/>
      <c r="ZX7" s="24"/>
      <c r="ZY7" s="24"/>
      <c r="ZZ7" s="24"/>
      <c r="AAA7" s="24"/>
      <c r="AAB7" s="24"/>
      <c r="AAC7" s="24"/>
      <c r="AAD7" s="24"/>
      <c r="AAE7" s="24"/>
      <c r="AAF7" s="24"/>
      <c r="AAG7" s="24"/>
      <c r="AAH7" s="24"/>
      <c r="AAI7" s="24"/>
      <c r="AAJ7" s="24"/>
      <c r="AAK7" s="24"/>
      <c r="AAL7" s="24"/>
      <c r="AAM7" s="24"/>
      <c r="AAN7" s="24"/>
      <c r="AAO7" s="24"/>
      <c r="AAP7" s="24"/>
      <c r="AAQ7" s="24"/>
      <c r="AAR7" s="24"/>
      <c r="AAS7" s="24"/>
      <c r="AAT7" s="24"/>
      <c r="AAU7" s="24"/>
      <c r="AAV7" s="24"/>
      <c r="AAW7" s="24"/>
      <c r="AAX7" s="24"/>
      <c r="AAY7" s="24"/>
      <c r="AAZ7" s="24"/>
      <c r="ABA7" s="24"/>
      <c r="ABB7" s="24"/>
      <c r="ABC7" s="24"/>
      <c r="ABD7" s="24"/>
      <c r="ABE7" s="24"/>
      <c r="ABF7" s="24"/>
      <c r="ABG7" s="24"/>
      <c r="ABH7" s="24"/>
      <c r="ABI7" s="24"/>
      <c r="ABJ7" s="24"/>
      <c r="ABK7" s="24"/>
      <c r="ABL7" s="24"/>
      <c r="ABM7" s="24"/>
      <c r="ABN7" s="24"/>
      <c r="ABO7" s="24"/>
      <c r="ABP7" s="24"/>
      <c r="ABQ7" s="24"/>
      <c r="ABR7" s="24"/>
      <c r="ABS7" s="24"/>
      <c r="ABT7" s="24"/>
      <c r="ABU7" s="24"/>
      <c r="ABV7" s="24"/>
      <c r="ABW7" s="24"/>
      <c r="ABX7" s="24"/>
      <c r="ABY7" s="24"/>
      <c r="ABZ7" s="24"/>
      <c r="ACA7" s="24"/>
      <c r="ACB7" s="24"/>
      <c r="ACC7" s="24"/>
      <c r="ACD7" s="24"/>
      <c r="ACE7" s="24"/>
      <c r="ACF7" s="24"/>
      <c r="ACG7" s="24"/>
      <c r="ACH7" s="24"/>
      <c r="ACI7" s="24"/>
      <c r="ACJ7" s="24"/>
      <c r="ACK7" s="24"/>
      <c r="ACL7" s="24"/>
      <c r="ACM7" s="24"/>
      <c r="ACN7" s="24"/>
      <c r="ACO7" s="24"/>
      <c r="ACP7" s="24"/>
      <c r="ACQ7" s="24"/>
      <c r="ACR7" s="24"/>
      <c r="ACS7" s="24"/>
      <c r="ACT7" s="24"/>
      <c r="ACU7" s="24"/>
      <c r="ACV7" s="24"/>
      <c r="ACW7" s="24"/>
      <c r="ACX7" s="24"/>
      <c r="ACY7" s="24"/>
      <c r="ACZ7" s="24"/>
      <c r="ADA7" s="24"/>
      <c r="ADB7" s="24"/>
      <c r="ADC7" s="24"/>
      <c r="ADD7" s="24"/>
      <c r="ADE7" s="24"/>
      <c r="ADF7" s="24"/>
      <c r="ADG7" s="24"/>
      <c r="ADH7" s="24"/>
      <c r="ADI7" s="24"/>
      <c r="ADJ7" s="24"/>
      <c r="ADK7" s="24"/>
      <c r="ADL7" s="24"/>
      <c r="ADM7" s="24"/>
      <c r="ADN7" s="24"/>
      <c r="ADO7" s="24"/>
      <c r="ADP7" s="24"/>
      <c r="ADQ7" s="24"/>
      <c r="ADR7" s="24"/>
      <c r="ADS7" s="24"/>
      <c r="ADT7" s="24"/>
      <c r="ADU7" s="24"/>
      <c r="ADV7" s="24"/>
      <c r="ADW7" s="24"/>
      <c r="ADX7" s="24"/>
      <c r="ADY7" s="24"/>
      <c r="ADZ7" s="24"/>
      <c r="AEA7" s="24"/>
      <c r="AEB7" s="24"/>
      <c r="AEC7" s="24"/>
      <c r="AED7" s="24"/>
      <c r="AEE7" s="24"/>
      <c r="AEF7" s="24"/>
      <c r="AEG7" s="24"/>
      <c r="AEH7" s="24"/>
      <c r="AEI7" s="24"/>
      <c r="AEJ7" s="24"/>
      <c r="AEK7" s="24"/>
      <c r="AEL7" s="24"/>
      <c r="AEM7" s="24"/>
      <c r="AEN7" s="24"/>
      <c r="AEO7" s="24"/>
      <c r="AEP7" s="24"/>
      <c r="AEQ7" s="24"/>
      <c r="AER7" s="24"/>
      <c r="AES7" s="24"/>
      <c r="AET7" s="24"/>
      <c r="AEU7" s="24"/>
      <c r="AEV7" s="24"/>
      <c r="AEW7" s="24"/>
      <c r="AEX7" s="24"/>
      <c r="AEY7" s="24"/>
      <c r="AEZ7" s="24"/>
      <c r="AFA7" s="24"/>
      <c r="AFB7" s="24"/>
      <c r="AFC7" s="24"/>
      <c r="AFD7" s="24"/>
      <c r="AFE7" s="24"/>
      <c r="AFF7" s="24"/>
      <c r="AFG7" s="24"/>
      <c r="AFH7" s="24"/>
      <c r="AFI7" s="24"/>
      <c r="AFJ7" s="24"/>
      <c r="AFK7" s="24"/>
      <c r="AFL7" s="24"/>
      <c r="AFM7" s="24"/>
      <c r="AFN7" s="24"/>
      <c r="AFO7" s="24"/>
      <c r="AFP7" s="24"/>
      <c r="AFQ7" s="24"/>
      <c r="AFR7" s="24"/>
      <c r="AFS7" s="24"/>
      <c r="AFT7" s="24"/>
      <c r="AFU7" s="24"/>
      <c r="AFV7" s="24"/>
      <c r="AFW7" s="24"/>
      <c r="AFX7" s="24"/>
      <c r="AFY7" s="24"/>
      <c r="AFZ7" s="24"/>
      <c r="AGA7" s="24"/>
      <c r="AGB7" s="24"/>
      <c r="AGC7" s="24"/>
      <c r="AGD7" s="24"/>
      <c r="AGE7" s="24"/>
      <c r="AGF7" s="24"/>
      <c r="AGG7" s="24"/>
      <c r="AGH7" s="24"/>
      <c r="AGI7" s="24"/>
      <c r="AGJ7" s="24"/>
      <c r="AGK7" s="24"/>
      <c r="AGL7" s="24"/>
      <c r="AGM7" s="24"/>
      <c r="AGN7" s="24"/>
      <c r="AGO7" s="24"/>
      <c r="AGP7" s="24"/>
      <c r="AGQ7" s="24"/>
      <c r="AGR7" s="24"/>
      <c r="AGS7" s="24"/>
      <c r="AGT7" s="24"/>
      <c r="AGU7" s="24"/>
      <c r="AGV7" s="24"/>
      <c r="AGW7" s="24"/>
      <c r="AGX7" s="24"/>
      <c r="AGY7" s="24"/>
      <c r="AGZ7" s="24"/>
      <c r="AHA7" s="24"/>
      <c r="AHB7" s="24"/>
      <c r="AHC7" s="24"/>
      <c r="AHD7" s="24"/>
      <c r="AHE7" s="24"/>
      <c r="AHF7" s="24"/>
      <c r="AHG7" s="24"/>
      <c r="AHH7" s="24"/>
      <c r="AHI7" s="24"/>
      <c r="AHJ7" s="24"/>
      <c r="AHK7" s="24"/>
      <c r="AHL7" s="24"/>
      <c r="AHM7" s="24"/>
      <c r="AHN7" s="24"/>
      <c r="AHO7" s="24"/>
      <c r="AHP7" s="24"/>
      <c r="AHQ7" s="24"/>
      <c r="AHR7" s="24"/>
      <c r="AHS7" s="24"/>
      <c r="AHT7" s="24"/>
      <c r="AHU7" s="24"/>
      <c r="AHV7" s="24"/>
      <c r="AHW7" s="24"/>
      <c r="AHX7" s="24"/>
      <c r="AHY7" s="24"/>
      <c r="AHZ7" s="24"/>
      <c r="AIA7" s="24"/>
      <c r="AIB7" s="24"/>
      <c r="AIC7" s="24"/>
      <c r="AID7" s="24"/>
      <c r="AIE7" s="24"/>
      <c r="AIF7" s="24"/>
      <c r="AIG7" s="24"/>
      <c r="AIH7" s="24"/>
      <c r="AII7" s="24"/>
      <c r="AIJ7" s="24"/>
      <c r="AIK7" s="24"/>
      <c r="AIL7" s="24"/>
      <c r="AIM7" s="24"/>
      <c r="AIN7" s="24"/>
      <c r="AIO7" s="24"/>
      <c r="AIP7" s="24"/>
      <c r="AIQ7" s="24"/>
      <c r="AIR7" s="24"/>
      <c r="AIS7" s="24"/>
      <c r="AIT7" s="24"/>
      <c r="AIU7" s="24"/>
      <c r="AIV7" s="24"/>
      <c r="AIW7" s="24"/>
      <c r="AIX7" s="24"/>
      <c r="AIY7" s="24"/>
      <c r="AIZ7" s="24"/>
      <c r="AJA7" s="24"/>
      <c r="AJB7" s="24"/>
      <c r="AJC7" s="24"/>
      <c r="AJD7" s="24"/>
      <c r="AJE7" s="24"/>
      <c r="AJF7" s="24"/>
      <c r="AJG7" s="24"/>
      <c r="AJH7" s="24"/>
      <c r="AJI7" s="24"/>
      <c r="AJJ7" s="24"/>
      <c r="AJK7" s="24"/>
      <c r="AJL7" s="24"/>
      <c r="AJM7" s="24"/>
      <c r="AJN7" s="24"/>
      <c r="AJO7" s="24"/>
      <c r="AJP7" s="24"/>
      <c r="AJQ7" s="24"/>
      <c r="AJR7" s="24"/>
      <c r="AJS7" s="24"/>
      <c r="AJT7" s="24"/>
      <c r="AJU7" s="24"/>
      <c r="AJV7" s="24"/>
      <c r="AJW7" s="24"/>
      <c r="AJX7" s="24"/>
      <c r="AJY7" s="24"/>
      <c r="AJZ7" s="24"/>
      <c r="AKA7" s="24"/>
      <c r="AKB7" s="24"/>
      <c r="AKC7" s="24"/>
      <c r="AKD7" s="24"/>
      <c r="AKE7" s="24"/>
      <c r="AKF7" s="24"/>
      <c r="AKG7" s="24"/>
      <c r="AKH7" s="24"/>
      <c r="AKI7" s="24"/>
      <c r="AKJ7" s="24"/>
      <c r="AKK7" s="24"/>
      <c r="AKL7" s="24"/>
      <c r="AKM7" s="24"/>
      <c r="AKN7" s="24"/>
      <c r="AKO7" s="24"/>
      <c r="AKP7" s="24"/>
      <c r="AKQ7" s="24"/>
      <c r="AKR7" s="24"/>
      <c r="AKS7" s="24"/>
      <c r="AKT7" s="24"/>
      <c r="AKU7" s="24"/>
      <c r="AKV7" s="24"/>
      <c r="AKW7" s="24"/>
      <c r="AKX7" s="24"/>
      <c r="AKY7" s="24"/>
      <c r="AKZ7" s="24"/>
      <c r="ALA7" s="24"/>
      <c r="ALB7" s="24"/>
      <c r="ALC7" s="24"/>
      <c r="ALD7" s="24"/>
      <c r="ALE7" s="24"/>
      <c r="ALF7" s="24"/>
      <c r="ALG7" s="24"/>
      <c r="ALH7" s="24"/>
      <c r="ALI7" s="24"/>
      <c r="ALJ7" s="24"/>
      <c r="ALK7" s="24"/>
      <c r="ALL7" s="24"/>
      <c r="ALM7" s="24"/>
      <c r="ALN7" s="24"/>
      <c r="ALO7" s="24"/>
      <c r="ALP7" s="24"/>
      <c r="ALQ7" s="24"/>
      <c r="ALR7" s="24"/>
      <c r="ALS7" s="24"/>
      <c r="ALT7" s="24"/>
      <c r="ALU7" s="24"/>
      <c r="ALV7" s="24"/>
      <c r="ALW7" s="24"/>
      <c r="ALX7" s="24"/>
      <c r="ALY7" s="24"/>
      <c r="ALZ7" s="24"/>
      <c r="AMA7" s="24"/>
      <c r="AMB7" s="24"/>
      <c r="AMC7" s="24"/>
      <c r="AMD7" s="24"/>
      <c r="AME7" s="24"/>
      <c r="AMF7" s="24"/>
      <c r="AMG7" s="24"/>
      <c r="AMH7" s="24"/>
      <c r="AMI7" s="24"/>
      <c r="AMJ7" s="24"/>
      <c r="AMK7" s="24"/>
      <c r="AML7" s="24"/>
      <c r="AMM7" s="24"/>
      <c r="AMN7" s="24"/>
      <c r="AMO7" s="24"/>
      <c r="AMP7" s="24"/>
      <c r="AMQ7" s="24"/>
      <c r="AMR7" s="24"/>
      <c r="AMS7" s="24"/>
      <c r="AMT7" s="24"/>
      <c r="AMU7" s="24"/>
      <c r="AMV7" s="24"/>
      <c r="AMW7" s="24"/>
      <c r="AMX7" s="24"/>
      <c r="AMY7" s="24"/>
      <c r="AMZ7" s="24"/>
      <c r="ANA7" s="24"/>
      <c r="ANB7" s="24"/>
      <c r="ANC7" s="24"/>
      <c r="AND7" s="24"/>
      <c r="ANE7" s="24"/>
      <c r="ANF7" s="24"/>
      <c r="ANG7" s="24"/>
      <c r="ANH7" s="24"/>
      <c r="ANI7" s="24"/>
      <c r="ANJ7" s="24"/>
      <c r="ANK7" s="24"/>
      <c r="ANL7" s="24"/>
      <c r="ANM7" s="24"/>
      <c r="ANN7" s="24"/>
      <c r="ANO7" s="24"/>
      <c r="ANP7" s="24"/>
      <c r="ANQ7" s="24"/>
      <c r="ANR7" s="24"/>
      <c r="ANS7" s="24"/>
      <c r="ANT7" s="24"/>
      <c r="ANU7" s="24"/>
      <c r="ANV7" s="24"/>
      <c r="ANW7" s="24"/>
      <c r="ANX7" s="24"/>
      <c r="ANY7" s="24"/>
      <c r="ANZ7" s="24"/>
      <c r="AOA7" s="24"/>
      <c r="AOB7" s="24"/>
      <c r="AOC7" s="24"/>
      <c r="AOD7" s="24"/>
      <c r="AOE7" s="24"/>
      <c r="AOF7" s="24"/>
      <c r="AOG7" s="24"/>
      <c r="AOH7" s="24"/>
      <c r="AOI7" s="24"/>
      <c r="AOJ7" s="24"/>
      <c r="AOK7" s="24"/>
      <c r="AOL7" s="24"/>
      <c r="AOM7" s="24"/>
      <c r="AON7" s="24"/>
      <c r="AOO7" s="24"/>
      <c r="AOP7" s="24"/>
      <c r="AOQ7" s="24"/>
      <c r="AOR7" s="24"/>
      <c r="AOS7" s="24"/>
      <c r="AOT7" s="24"/>
      <c r="AOU7" s="24"/>
      <c r="AOV7" s="24"/>
      <c r="AOW7" s="24"/>
      <c r="AOX7" s="24"/>
      <c r="AOY7" s="24"/>
      <c r="AOZ7" s="24"/>
      <c r="APA7" s="24"/>
      <c r="APB7" s="24"/>
      <c r="APC7" s="24"/>
      <c r="APD7" s="24"/>
      <c r="APE7" s="24"/>
      <c r="APF7" s="24"/>
      <c r="APG7" s="24"/>
      <c r="APH7" s="24"/>
      <c r="API7" s="24"/>
      <c r="APJ7" s="24"/>
      <c r="APK7" s="24"/>
      <c r="APL7" s="24"/>
      <c r="APM7" s="24"/>
      <c r="APN7" s="24"/>
      <c r="APO7" s="24"/>
      <c r="APP7" s="24"/>
      <c r="APQ7" s="24"/>
      <c r="APR7" s="24"/>
      <c r="APS7" s="24"/>
      <c r="APT7" s="24"/>
      <c r="APU7" s="24"/>
      <c r="APV7" s="24"/>
      <c r="APW7" s="24"/>
      <c r="APX7" s="24"/>
      <c r="APY7" s="24"/>
      <c r="APZ7" s="24"/>
      <c r="AQA7" s="24"/>
      <c r="AQB7" s="24"/>
      <c r="AQC7" s="24"/>
      <c r="AQD7" s="24"/>
      <c r="AQE7" s="24"/>
      <c r="AQF7" s="24"/>
      <c r="AQG7" s="24"/>
      <c r="AQH7" s="24"/>
      <c r="AQI7" s="24"/>
      <c r="AQJ7" s="24"/>
      <c r="AQK7" s="24"/>
      <c r="AQL7" s="24"/>
      <c r="AQM7" s="24"/>
      <c r="AQN7" s="24"/>
      <c r="AQO7" s="24"/>
      <c r="AQP7" s="24"/>
      <c r="AQQ7" s="24"/>
      <c r="AQR7" s="24"/>
      <c r="AQS7" s="24"/>
      <c r="AQT7" s="24"/>
      <c r="AQU7" s="24"/>
      <c r="AQV7" s="24"/>
      <c r="AQW7" s="24"/>
      <c r="AQX7" s="24"/>
      <c r="AQY7" s="24"/>
      <c r="AQZ7" s="24"/>
      <c r="ARA7" s="24"/>
      <c r="ARB7" s="24"/>
      <c r="ARC7" s="24"/>
      <c r="ARD7" s="24"/>
      <c r="ARE7" s="24"/>
      <c r="ARF7" s="24"/>
      <c r="ARG7" s="24"/>
      <c r="ARH7" s="24"/>
      <c r="ARI7" s="24"/>
      <c r="ARJ7" s="24"/>
      <c r="ARK7" s="24"/>
      <c r="ARL7" s="24"/>
      <c r="ARM7" s="24"/>
      <c r="ARN7" s="24"/>
      <c r="ARO7" s="24"/>
      <c r="ARP7" s="24"/>
      <c r="ARQ7" s="24"/>
      <c r="ARR7" s="24"/>
      <c r="ARS7" s="24"/>
      <c r="ART7" s="24"/>
      <c r="ARU7" s="24"/>
      <c r="ARV7" s="24"/>
      <c r="ARW7" s="24"/>
      <c r="ARX7" s="24"/>
      <c r="ARY7" s="24"/>
      <c r="ARZ7" s="24"/>
      <c r="ASA7" s="24"/>
      <c r="ASB7" s="24"/>
      <c r="ASC7" s="24"/>
      <c r="ASD7" s="24"/>
      <c r="ASE7" s="24"/>
      <c r="ASF7" s="24"/>
      <c r="ASG7" s="24"/>
      <c r="ASH7" s="24"/>
      <c r="ASI7" s="24"/>
      <c r="ASJ7" s="24"/>
      <c r="ASK7" s="24"/>
      <c r="ASL7" s="24"/>
      <c r="ASM7" s="24"/>
      <c r="ASN7" s="24"/>
      <c r="ASO7" s="24"/>
      <c r="ASP7" s="24"/>
      <c r="ASQ7" s="24"/>
      <c r="ASR7" s="24"/>
      <c r="ASS7" s="24"/>
      <c r="AST7" s="24"/>
      <c r="ASU7" s="24"/>
      <c r="ASV7" s="24"/>
      <c r="ASW7" s="24"/>
      <c r="ASX7" s="24"/>
      <c r="ASY7" s="24"/>
      <c r="ASZ7" s="24"/>
      <c r="ATA7" s="24"/>
      <c r="ATB7" s="24"/>
      <c r="ATC7" s="24"/>
      <c r="ATD7" s="24"/>
      <c r="ATE7" s="24"/>
      <c r="ATF7" s="24"/>
      <c r="ATG7" s="24"/>
      <c r="ATH7" s="24"/>
      <c r="ATI7" s="24"/>
      <c r="ATJ7" s="24"/>
      <c r="ATK7" s="24"/>
      <c r="ATL7" s="24"/>
      <c r="ATM7" s="24"/>
      <c r="ATN7" s="24"/>
      <c r="ATO7" s="24"/>
      <c r="ATP7" s="24"/>
      <c r="ATQ7" s="24"/>
      <c r="ATR7" s="24"/>
      <c r="ATS7" s="24"/>
      <c r="ATT7" s="24"/>
      <c r="ATU7" s="24"/>
      <c r="ATV7" s="24"/>
      <c r="ATW7" s="24"/>
      <c r="ATX7" s="24"/>
      <c r="ATY7" s="24"/>
      <c r="ATZ7" s="24"/>
      <c r="AUA7" s="24"/>
      <c r="AUB7" s="24"/>
      <c r="AUC7" s="24"/>
      <c r="AUD7" s="24"/>
      <c r="AUE7" s="24"/>
      <c r="AUF7" s="24"/>
      <c r="AUG7" s="24"/>
      <c r="AUH7" s="24"/>
      <c r="AUI7" s="24"/>
      <c r="AUJ7" s="24"/>
      <c r="AUK7" s="24"/>
      <c r="AUL7" s="24"/>
      <c r="AUM7" s="24"/>
      <c r="AUN7" s="24"/>
      <c r="AUO7" s="24"/>
      <c r="AUP7" s="24"/>
      <c r="AUQ7" s="24"/>
      <c r="AUR7" s="24"/>
      <c r="AUS7" s="24"/>
      <c r="AUT7" s="24"/>
      <c r="AUU7" s="24"/>
      <c r="AUV7" s="24"/>
      <c r="AUW7" s="24"/>
      <c r="AUX7" s="24"/>
      <c r="AUY7" s="24"/>
      <c r="AUZ7" s="24"/>
      <c r="AVA7" s="24"/>
      <c r="AVB7" s="24"/>
      <c r="AVC7" s="24"/>
      <c r="AVD7" s="24"/>
      <c r="AVE7" s="24"/>
      <c r="AVF7" s="24"/>
      <c r="AVG7" s="24"/>
      <c r="AVH7" s="24"/>
      <c r="AVI7" s="24"/>
      <c r="AVJ7" s="24"/>
      <c r="AVK7" s="24"/>
      <c r="AVL7" s="24"/>
      <c r="AVM7" s="24"/>
      <c r="AVN7" s="24"/>
      <c r="AVO7" s="24"/>
      <c r="AVP7" s="24"/>
      <c r="AVQ7" s="24"/>
      <c r="AVR7" s="24"/>
      <c r="AVS7" s="24"/>
      <c r="AVT7" s="24"/>
      <c r="AVU7" s="24"/>
      <c r="AVV7" s="24"/>
      <c r="AVW7" s="24"/>
      <c r="AVX7" s="24"/>
      <c r="AVY7" s="24"/>
      <c r="AVZ7" s="24"/>
      <c r="AWA7" s="24"/>
      <c r="AWB7" s="24"/>
      <c r="AWC7" s="24"/>
      <c r="AWD7" s="24"/>
      <c r="AWE7" s="24"/>
      <c r="AWF7" s="24"/>
      <c r="AWG7" s="24"/>
      <c r="AWH7" s="24"/>
      <c r="AWI7" s="24"/>
      <c r="AWJ7" s="24"/>
      <c r="AWK7" s="24"/>
      <c r="AWL7" s="24"/>
      <c r="AWM7" s="24"/>
      <c r="AWN7" s="24"/>
      <c r="AWO7" s="24"/>
      <c r="AWP7" s="24"/>
      <c r="AWQ7" s="24"/>
      <c r="AWR7" s="24"/>
      <c r="AWS7" s="24"/>
      <c r="AWT7" s="24"/>
      <c r="AWU7" s="24"/>
      <c r="AWV7" s="24"/>
      <c r="AWW7" s="24"/>
      <c r="AWX7" s="24"/>
      <c r="AWY7" s="24"/>
      <c r="AWZ7" s="24"/>
      <c r="AXA7" s="24"/>
      <c r="AXB7" s="24"/>
      <c r="AXC7" s="24"/>
      <c r="AXD7" s="24"/>
      <c r="AXE7" s="24"/>
      <c r="AXF7" s="24"/>
      <c r="AXG7" s="24"/>
      <c r="AXH7" s="24"/>
      <c r="AXI7" s="24"/>
      <c r="AXJ7" s="24"/>
      <c r="AXK7" s="24"/>
      <c r="AXL7" s="24"/>
      <c r="AXM7" s="24"/>
      <c r="AXN7" s="24"/>
      <c r="AXO7" s="24"/>
      <c r="AXP7" s="24"/>
      <c r="AXQ7" s="24"/>
      <c r="AXR7" s="24"/>
      <c r="AXS7" s="24"/>
      <c r="AXT7" s="24"/>
      <c r="AXU7" s="24"/>
      <c r="AXV7" s="24"/>
      <c r="AXW7" s="24"/>
      <c r="AXX7" s="24"/>
      <c r="AXY7" s="24"/>
      <c r="AXZ7" s="24"/>
      <c r="AYA7" s="24"/>
      <c r="AYB7" s="24"/>
      <c r="AYC7" s="24"/>
      <c r="AYD7" s="24"/>
      <c r="AYE7" s="24"/>
      <c r="AYF7" s="24"/>
      <c r="AYG7" s="24"/>
      <c r="AYH7" s="24"/>
      <c r="AYI7" s="24"/>
      <c r="AYJ7" s="24"/>
      <c r="AYK7" s="24"/>
      <c r="AYL7" s="24"/>
      <c r="AYM7" s="24"/>
      <c r="AYN7" s="24"/>
      <c r="AYO7" s="24"/>
      <c r="AYP7" s="24"/>
      <c r="AYQ7" s="24"/>
      <c r="AYR7" s="24"/>
      <c r="AYS7" s="24"/>
      <c r="AYT7" s="24"/>
      <c r="AYU7" s="24"/>
      <c r="AYV7" s="24"/>
      <c r="AYW7" s="24"/>
      <c r="AYX7" s="24"/>
      <c r="AYY7" s="24"/>
      <c r="AYZ7" s="24"/>
      <c r="AZA7" s="24"/>
      <c r="AZB7" s="24"/>
      <c r="AZC7" s="24"/>
      <c r="AZD7" s="24"/>
      <c r="AZE7" s="24"/>
      <c r="AZF7" s="24"/>
      <c r="AZG7" s="24"/>
      <c r="AZH7" s="24"/>
      <c r="AZI7" s="24"/>
      <c r="AZJ7" s="24"/>
      <c r="AZK7" s="24"/>
      <c r="AZL7" s="24"/>
      <c r="AZM7" s="24"/>
      <c r="AZN7" s="24"/>
      <c r="AZO7" s="24"/>
      <c r="AZP7" s="24"/>
      <c r="AZQ7" s="24"/>
      <c r="AZR7" s="24"/>
      <c r="AZS7" s="24"/>
      <c r="AZT7" s="24"/>
      <c r="AZU7" s="24"/>
      <c r="AZV7" s="24"/>
      <c r="AZW7" s="24"/>
      <c r="AZX7" s="24"/>
      <c r="AZY7" s="24"/>
      <c r="AZZ7" s="24"/>
      <c r="BAA7" s="24"/>
      <c r="BAB7" s="24"/>
      <c r="BAC7" s="24"/>
      <c r="BAD7" s="24"/>
      <c r="BAE7" s="24"/>
      <c r="BAF7" s="24"/>
      <c r="BAG7" s="24"/>
      <c r="BAH7" s="24"/>
      <c r="BAI7" s="24"/>
      <c r="BAJ7" s="24"/>
      <c r="BAK7" s="24"/>
      <c r="BAL7" s="24"/>
      <c r="BAM7" s="24"/>
      <c r="BAN7" s="24"/>
      <c r="BAO7" s="24"/>
      <c r="BAP7" s="24"/>
      <c r="BAQ7" s="24"/>
      <c r="BAR7" s="24"/>
      <c r="BAS7" s="24"/>
      <c r="BAT7" s="24"/>
      <c r="BAU7" s="24"/>
      <c r="BAV7" s="24"/>
      <c r="BAW7" s="24"/>
      <c r="BAX7" s="24"/>
      <c r="BAY7" s="24"/>
      <c r="BAZ7" s="24"/>
      <c r="BBA7" s="24"/>
      <c r="BBB7" s="24"/>
      <c r="BBC7" s="24"/>
      <c r="BBD7" s="24"/>
      <c r="BBE7" s="24"/>
      <c r="BBF7" s="24"/>
      <c r="BBG7" s="24"/>
      <c r="BBH7" s="24"/>
      <c r="BBI7" s="24"/>
      <c r="BBJ7" s="24"/>
      <c r="BBK7" s="24"/>
      <c r="BBL7" s="24"/>
      <c r="BBM7" s="24"/>
      <c r="BBN7" s="24"/>
      <c r="BBO7" s="24"/>
      <c r="BBP7" s="24"/>
      <c r="BBQ7" s="24"/>
      <c r="BBR7" s="24"/>
      <c r="BBS7" s="24"/>
      <c r="BBT7" s="24"/>
      <c r="BBU7" s="24"/>
      <c r="BBV7" s="24"/>
      <c r="BBW7" s="24"/>
      <c r="BBX7" s="24"/>
      <c r="BBY7" s="24"/>
      <c r="BBZ7" s="24"/>
      <c r="BCA7" s="24"/>
      <c r="BCB7" s="24"/>
      <c r="BCC7" s="24"/>
      <c r="BCD7" s="24"/>
      <c r="BCE7" s="24"/>
      <c r="BCF7" s="24"/>
      <c r="BCG7" s="24"/>
      <c r="BCH7" s="24"/>
      <c r="BCI7" s="24"/>
      <c r="BCJ7" s="24"/>
      <c r="BCK7" s="24"/>
      <c r="BCL7" s="24"/>
      <c r="BCM7" s="24"/>
      <c r="BCN7" s="24"/>
      <c r="BCO7" s="24"/>
      <c r="BCP7" s="24"/>
      <c r="BCQ7" s="24"/>
      <c r="BCR7" s="24"/>
      <c r="BCS7" s="24"/>
      <c r="BCT7" s="24"/>
      <c r="BCU7" s="24"/>
      <c r="BCV7" s="24"/>
      <c r="BCW7" s="24"/>
      <c r="BCX7" s="24"/>
      <c r="BCY7" s="24"/>
      <c r="BCZ7" s="24"/>
      <c r="BDA7" s="24"/>
      <c r="BDB7" s="24"/>
      <c r="BDC7" s="24"/>
      <c r="BDD7" s="24"/>
      <c r="BDE7" s="24"/>
      <c r="BDF7" s="24"/>
      <c r="BDG7" s="24"/>
      <c r="BDH7" s="24"/>
      <c r="BDI7" s="24"/>
      <c r="BDJ7" s="24"/>
      <c r="BDK7" s="24"/>
      <c r="BDL7" s="24"/>
      <c r="BDM7" s="24"/>
      <c r="BDN7" s="24"/>
      <c r="BDO7" s="24"/>
      <c r="BDP7" s="24"/>
      <c r="BDQ7" s="24"/>
      <c r="BDR7" s="24"/>
      <c r="BDS7" s="24"/>
      <c r="BDT7" s="24"/>
      <c r="BDU7" s="24"/>
      <c r="BDV7" s="24"/>
      <c r="BDW7" s="24"/>
      <c r="BDX7" s="24"/>
      <c r="BDY7" s="24"/>
      <c r="BDZ7" s="24"/>
      <c r="BEA7" s="24"/>
      <c r="BEB7" s="24"/>
      <c r="BEC7" s="24"/>
      <c r="BED7" s="24"/>
      <c r="BEE7" s="24"/>
      <c r="BEF7" s="24"/>
      <c r="BEG7" s="24"/>
      <c r="BEH7" s="24"/>
      <c r="BEI7" s="24"/>
      <c r="BEJ7" s="24"/>
      <c r="BEK7" s="24"/>
      <c r="BEL7" s="24"/>
      <c r="BEM7" s="24"/>
      <c r="BEN7" s="24"/>
      <c r="BEO7" s="24"/>
      <c r="BEP7" s="24"/>
      <c r="BEQ7" s="24"/>
      <c r="BER7" s="24"/>
      <c r="BES7" s="24"/>
      <c r="BET7" s="24"/>
      <c r="BEU7" s="24"/>
      <c r="BEV7" s="24"/>
      <c r="BEW7" s="24"/>
      <c r="BEX7" s="24"/>
      <c r="BEY7" s="24"/>
      <c r="BEZ7" s="24"/>
      <c r="BFA7" s="24"/>
      <c r="BFB7" s="24"/>
      <c r="BFC7" s="24"/>
      <c r="BFD7" s="24"/>
      <c r="BFE7" s="24"/>
      <c r="BFF7" s="24"/>
      <c r="BFG7" s="24"/>
      <c r="BFH7" s="24"/>
      <c r="BFI7" s="24"/>
      <c r="BFJ7" s="24"/>
      <c r="BFK7" s="24"/>
      <c r="BFL7" s="24"/>
      <c r="BFM7" s="24"/>
      <c r="BFN7" s="24"/>
      <c r="BFO7" s="24"/>
      <c r="BFP7" s="24"/>
      <c r="BFQ7" s="24"/>
      <c r="BFR7" s="24"/>
      <c r="BFS7" s="24"/>
      <c r="BFT7" s="24"/>
      <c r="BFU7" s="24"/>
      <c r="BFV7" s="24"/>
      <c r="BFW7" s="24"/>
      <c r="BFX7" s="24"/>
      <c r="BFY7" s="24"/>
      <c r="BFZ7" s="24"/>
      <c r="BGA7" s="24"/>
      <c r="BGB7" s="24"/>
      <c r="BGC7" s="24"/>
      <c r="BGD7" s="24"/>
      <c r="BGE7" s="24"/>
      <c r="BGF7" s="24"/>
      <c r="BGG7" s="24"/>
      <c r="BGH7" s="24"/>
      <c r="BGI7" s="24"/>
      <c r="BGJ7" s="24"/>
      <c r="BGK7" s="24"/>
      <c r="BGL7" s="24"/>
      <c r="BGM7" s="24"/>
      <c r="BGN7" s="24"/>
      <c r="BGO7" s="24"/>
      <c r="BGP7" s="24"/>
      <c r="BGQ7" s="24"/>
      <c r="BGR7" s="24"/>
      <c r="BGS7" s="24"/>
      <c r="BGT7" s="24"/>
      <c r="BGU7" s="24"/>
      <c r="BGV7" s="24"/>
      <c r="BGW7" s="24"/>
      <c r="BGX7" s="24"/>
      <c r="BGY7" s="24"/>
      <c r="BGZ7" s="24"/>
      <c r="BHA7" s="24"/>
      <c r="BHB7" s="24"/>
      <c r="BHC7" s="24"/>
      <c r="BHD7" s="24"/>
      <c r="BHE7" s="24"/>
      <c r="BHF7" s="24"/>
      <c r="BHG7" s="24"/>
      <c r="BHH7" s="24"/>
      <c r="BHI7" s="24"/>
      <c r="BHJ7" s="24"/>
      <c r="BHK7" s="24"/>
      <c r="BHL7" s="24"/>
      <c r="BHM7" s="24"/>
      <c r="BHN7" s="24"/>
      <c r="BHO7" s="24"/>
      <c r="BHP7" s="24"/>
      <c r="BHQ7" s="24"/>
      <c r="BHR7" s="24"/>
      <c r="BHS7" s="24"/>
      <c r="BHT7" s="24"/>
      <c r="BHU7" s="24"/>
      <c r="BHV7" s="24"/>
      <c r="BHW7" s="24"/>
      <c r="BHX7" s="24"/>
      <c r="BHY7" s="24"/>
      <c r="BHZ7" s="24"/>
      <c r="BIA7" s="24"/>
      <c r="BIB7" s="24"/>
      <c r="BIC7" s="24"/>
      <c r="BID7" s="24"/>
      <c r="BIE7" s="24"/>
      <c r="BIF7" s="24"/>
      <c r="BIG7" s="24"/>
      <c r="BIH7" s="24"/>
      <c r="BII7" s="24"/>
      <c r="BIJ7" s="24"/>
      <c r="BIK7" s="24"/>
      <c r="BIL7" s="24"/>
      <c r="BIM7" s="24"/>
      <c r="BIN7" s="24"/>
      <c r="BIO7" s="24"/>
      <c r="BIP7" s="24"/>
      <c r="BIQ7" s="24"/>
      <c r="BIR7" s="24"/>
      <c r="BIS7" s="24"/>
      <c r="BIT7" s="24"/>
      <c r="BIU7" s="24"/>
      <c r="BIV7" s="24"/>
      <c r="BIW7" s="24"/>
      <c r="BIX7" s="24"/>
      <c r="BIY7" s="24"/>
      <c r="BIZ7" s="24"/>
      <c r="BJA7" s="24"/>
      <c r="BJB7" s="24"/>
      <c r="BJC7" s="24"/>
      <c r="BJD7" s="24"/>
      <c r="BJE7" s="24"/>
      <c r="BJF7" s="24"/>
      <c r="BJG7" s="24"/>
      <c r="BJH7" s="24"/>
      <c r="BJI7" s="24"/>
      <c r="BJJ7" s="24"/>
      <c r="BJK7" s="24"/>
      <c r="BJL7" s="24"/>
      <c r="BJM7" s="24"/>
      <c r="BJN7" s="24"/>
      <c r="BJO7" s="24"/>
      <c r="BJP7" s="24"/>
      <c r="BJQ7" s="24"/>
      <c r="BJR7" s="24"/>
      <c r="BJS7" s="24"/>
      <c r="BJT7" s="24"/>
      <c r="BJU7" s="24"/>
      <c r="BJV7" s="24"/>
      <c r="BJW7" s="24"/>
      <c r="BJX7" s="24"/>
      <c r="BJY7" s="24"/>
      <c r="BJZ7" s="24"/>
      <c r="BKA7" s="24"/>
      <c r="BKB7" s="24"/>
      <c r="BKC7" s="24"/>
      <c r="BKD7" s="24"/>
      <c r="BKE7" s="24"/>
      <c r="BKF7" s="24"/>
      <c r="BKG7" s="24"/>
      <c r="BKH7" s="24"/>
      <c r="BKI7" s="24"/>
      <c r="BKJ7" s="24"/>
      <c r="BKK7" s="24"/>
      <c r="BKL7" s="24"/>
      <c r="BKM7" s="24"/>
      <c r="BKN7" s="24"/>
      <c r="BKO7" s="24"/>
      <c r="BKP7" s="24"/>
      <c r="BKQ7" s="24"/>
      <c r="BKR7" s="24"/>
      <c r="BKS7" s="24"/>
      <c r="BKT7" s="24"/>
      <c r="BKU7" s="24"/>
      <c r="BKV7" s="24"/>
      <c r="BKW7" s="24"/>
      <c r="BKX7" s="24"/>
      <c r="BKY7" s="24"/>
      <c r="BKZ7" s="24"/>
      <c r="BLA7" s="24"/>
      <c r="BLB7" s="24"/>
      <c r="BLC7" s="24"/>
      <c r="BLD7" s="24"/>
      <c r="BLE7" s="24"/>
      <c r="BLF7" s="24"/>
      <c r="BLG7" s="24"/>
      <c r="BLH7" s="24"/>
      <c r="BLI7" s="24"/>
      <c r="BLJ7" s="24"/>
      <c r="BLK7" s="24"/>
      <c r="BLL7" s="24"/>
      <c r="BLM7" s="24"/>
      <c r="BLN7" s="24"/>
      <c r="BLO7" s="24"/>
      <c r="BLP7" s="24"/>
      <c r="BLQ7" s="24"/>
      <c r="BLR7" s="24"/>
      <c r="BLS7" s="24"/>
      <c r="BLT7" s="24"/>
      <c r="BLU7" s="24"/>
      <c r="BLV7" s="24"/>
      <c r="BLW7" s="24"/>
      <c r="BLX7" s="24"/>
      <c r="BLY7" s="24"/>
      <c r="BLZ7" s="24"/>
      <c r="BMA7" s="24"/>
      <c r="BMB7" s="24"/>
      <c r="BMC7" s="24"/>
      <c r="BMD7" s="24"/>
      <c r="BME7" s="24"/>
      <c r="BMF7" s="24"/>
      <c r="BMG7" s="24"/>
      <c r="BMH7" s="24"/>
      <c r="BMI7" s="24"/>
      <c r="BMJ7" s="24"/>
      <c r="BMK7" s="24"/>
      <c r="BML7" s="24"/>
      <c r="BMM7" s="24"/>
      <c r="BMN7" s="24"/>
      <c r="BMO7" s="24"/>
      <c r="BMP7" s="24"/>
      <c r="BMQ7" s="24"/>
      <c r="BMR7" s="24"/>
      <c r="BMS7" s="24"/>
      <c r="BMT7" s="24"/>
      <c r="BMU7" s="24"/>
      <c r="BMV7" s="24"/>
      <c r="BMW7" s="24"/>
      <c r="BMX7" s="24"/>
      <c r="BMY7" s="24"/>
      <c r="BMZ7" s="24"/>
      <c r="BNA7" s="24"/>
      <c r="BNB7" s="24"/>
      <c r="BNC7" s="24"/>
      <c r="BND7" s="24"/>
      <c r="BNE7" s="24"/>
      <c r="BNF7" s="24"/>
      <c r="BNG7" s="24"/>
      <c r="BNH7" s="24"/>
      <c r="BNI7" s="24"/>
      <c r="BNJ7" s="24"/>
      <c r="BNK7" s="24"/>
      <c r="BNL7" s="24"/>
      <c r="BNM7" s="24"/>
      <c r="BNN7" s="24"/>
      <c r="BNO7" s="24"/>
      <c r="BNP7" s="24"/>
      <c r="BNQ7" s="24"/>
      <c r="BNR7" s="24"/>
      <c r="BNS7" s="24"/>
      <c r="BNT7" s="24"/>
      <c r="BNU7" s="24"/>
      <c r="BNV7" s="24"/>
      <c r="BNW7" s="24"/>
      <c r="BNX7" s="24"/>
      <c r="BNY7" s="24"/>
      <c r="BNZ7" s="24"/>
      <c r="BOA7" s="24"/>
      <c r="BOB7" s="24"/>
      <c r="BOC7" s="24"/>
      <c r="BOD7" s="24"/>
      <c r="BOE7" s="24"/>
      <c r="BOF7" s="24"/>
      <c r="BOG7" s="24"/>
      <c r="BOH7" s="24"/>
      <c r="BOI7" s="24"/>
      <c r="BOJ7" s="24"/>
      <c r="BOK7" s="24"/>
      <c r="BOL7" s="24"/>
      <c r="BOM7" s="24"/>
      <c r="BON7" s="24"/>
      <c r="BOO7" s="24"/>
      <c r="BOP7" s="24"/>
      <c r="BOQ7" s="24"/>
      <c r="BOR7" s="24"/>
      <c r="BOS7" s="24"/>
      <c r="BOT7" s="24"/>
      <c r="BOU7" s="24"/>
      <c r="BOV7" s="24"/>
      <c r="BOW7" s="24"/>
      <c r="BOX7" s="24"/>
      <c r="BOY7" s="24"/>
      <c r="BOZ7" s="24"/>
      <c r="BPA7" s="24"/>
      <c r="BPB7" s="24"/>
      <c r="BPC7" s="24"/>
      <c r="BPD7" s="24"/>
      <c r="BPE7" s="24"/>
      <c r="BPF7" s="24"/>
      <c r="BPG7" s="24"/>
      <c r="BPH7" s="24"/>
      <c r="BPI7" s="24"/>
      <c r="BPJ7" s="24"/>
      <c r="BPK7" s="24"/>
      <c r="BPL7" s="24"/>
      <c r="BPM7" s="24"/>
      <c r="BPN7" s="24"/>
      <c r="BPO7" s="24"/>
      <c r="BPP7" s="24"/>
      <c r="BPQ7" s="24"/>
      <c r="BPR7" s="24"/>
      <c r="BPS7" s="24"/>
      <c r="BPT7" s="24"/>
      <c r="BPU7" s="24"/>
      <c r="BPV7" s="24"/>
      <c r="BPW7" s="24"/>
      <c r="BPX7" s="24"/>
      <c r="BPY7" s="24"/>
      <c r="BPZ7" s="24"/>
      <c r="BQA7" s="24"/>
      <c r="BQB7" s="24"/>
      <c r="BQC7" s="24"/>
      <c r="BQD7" s="24"/>
      <c r="BQE7" s="24"/>
      <c r="BQF7" s="24"/>
      <c r="BQG7" s="24"/>
      <c r="BQH7" s="24"/>
      <c r="BQI7" s="24"/>
      <c r="BQJ7" s="24"/>
      <c r="BQK7" s="24"/>
      <c r="BQL7" s="24"/>
      <c r="BQM7" s="24"/>
      <c r="BQN7" s="24"/>
      <c r="BQO7" s="24"/>
      <c r="BQP7" s="24"/>
      <c r="BQQ7" s="24"/>
      <c r="BQR7" s="24"/>
      <c r="BQS7" s="24"/>
      <c r="BQT7" s="24"/>
      <c r="BQU7" s="24"/>
      <c r="BQV7" s="24"/>
      <c r="BQW7" s="24"/>
      <c r="BQX7" s="24"/>
      <c r="BQY7" s="24"/>
      <c r="BQZ7" s="24"/>
      <c r="BRA7" s="24"/>
      <c r="BRB7" s="24"/>
      <c r="BRC7" s="24"/>
      <c r="BRD7" s="24"/>
      <c r="BRE7" s="24"/>
      <c r="BRF7" s="24"/>
      <c r="BRG7" s="24"/>
      <c r="BRH7" s="24"/>
      <c r="BRI7" s="24"/>
      <c r="BRJ7" s="24"/>
      <c r="BRK7" s="24"/>
      <c r="BRL7" s="24"/>
      <c r="BRM7" s="24"/>
      <c r="BRN7" s="24"/>
      <c r="BRO7" s="24"/>
      <c r="BRP7" s="24"/>
      <c r="BRQ7" s="24"/>
      <c r="BRR7" s="24"/>
      <c r="BRS7" s="24"/>
      <c r="BRT7" s="24"/>
      <c r="BRU7" s="24"/>
      <c r="BRV7" s="24"/>
      <c r="BRW7" s="24"/>
      <c r="BRX7" s="24"/>
      <c r="BRY7" s="24"/>
      <c r="BRZ7" s="24"/>
      <c r="BSA7" s="24"/>
      <c r="BSB7" s="24"/>
      <c r="BSC7" s="24"/>
      <c r="BSD7" s="24"/>
      <c r="BSE7" s="24"/>
      <c r="BSF7" s="24"/>
      <c r="BSG7" s="24"/>
      <c r="BSH7" s="24"/>
      <c r="BSI7" s="24"/>
      <c r="BSJ7" s="24"/>
      <c r="BSK7" s="24"/>
      <c r="BSL7" s="24"/>
      <c r="BSM7" s="24"/>
      <c r="BSN7" s="24"/>
      <c r="BSO7" s="24"/>
      <c r="BSP7" s="24"/>
      <c r="BSQ7" s="24"/>
      <c r="BSR7" s="24"/>
      <c r="BSS7" s="24"/>
      <c r="BST7" s="24"/>
      <c r="BSU7" s="24"/>
      <c r="BSV7" s="24"/>
      <c r="BSW7" s="24"/>
      <c r="BSX7" s="24"/>
      <c r="BSY7" s="24"/>
      <c r="BSZ7" s="24"/>
      <c r="BTA7" s="24"/>
      <c r="BTB7" s="24"/>
      <c r="BTC7" s="24"/>
      <c r="BTD7" s="24"/>
      <c r="BTE7" s="24"/>
      <c r="BTF7" s="24"/>
      <c r="BTG7" s="24"/>
      <c r="BTH7" s="24"/>
      <c r="BTI7" s="24"/>
      <c r="BTJ7" s="24"/>
      <c r="BTK7" s="24"/>
      <c r="BTL7" s="24"/>
      <c r="BTM7" s="24"/>
      <c r="BTN7" s="24"/>
      <c r="BTO7" s="24"/>
      <c r="BTP7" s="24"/>
      <c r="BTQ7" s="24"/>
      <c r="BTR7" s="24"/>
      <c r="BTS7" s="24"/>
      <c r="BTT7" s="24"/>
      <c r="BTU7" s="24"/>
      <c r="BTV7" s="24"/>
      <c r="BTW7" s="24"/>
      <c r="BTX7" s="24"/>
      <c r="BTY7" s="24"/>
      <c r="BTZ7" s="24"/>
      <c r="BUA7" s="24"/>
      <c r="BUB7" s="24"/>
      <c r="BUC7" s="24"/>
      <c r="BUD7" s="24"/>
      <c r="BUE7" s="24"/>
      <c r="BUF7" s="24"/>
      <c r="BUG7" s="24"/>
      <c r="BUH7" s="24"/>
      <c r="BUI7" s="24"/>
      <c r="BUJ7" s="24"/>
      <c r="BUK7" s="24"/>
      <c r="BUL7" s="24"/>
      <c r="BUM7" s="24"/>
      <c r="BUN7" s="24"/>
      <c r="BUO7" s="24"/>
      <c r="BUP7" s="24"/>
      <c r="BUQ7" s="24"/>
      <c r="BUR7" s="24"/>
      <c r="BUS7" s="24"/>
      <c r="BUT7" s="24"/>
      <c r="BUU7" s="24"/>
      <c r="BUV7" s="24"/>
      <c r="BUW7" s="24"/>
      <c r="BUX7" s="24"/>
      <c r="BUY7" s="24"/>
      <c r="BUZ7" s="24"/>
      <c r="BVA7" s="24"/>
      <c r="BVB7" s="24"/>
      <c r="BVC7" s="24"/>
      <c r="BVD7" s="24"/>
      <c r="BVE7" s="24"/>
      <c r="BVF7" s="24"/>
      <c r="BVG7" s="24"/>
      <c r="BVH7" s="24"/>
      <c r="BVI7" s="24"/>
      <c r="BVJ7" s="24"/>
      <c r="BVK7" s="24"/>
      <c r="BVL7" s="24"/>
      <c r="BVM7" s="24"/>
      <c r="BVN7" s="24"/>
      <c r="BVO7" s="24"/>
      <c r="BVP7" s="24"/>
      <c r="BVQ7" s="24"/>
      <c r="BVR7" s="24"/>
      <c r="BVS7" s="24"/>
      <c r="BVT7" s="24"/>
      <c r="BVU7" s="24"/>
      <c r="BVV7" s="24"/>
      <c r="BVW7" s="24"/>
      <c r="BVX7" s="24"/>
      <c r="BVY7" s="24"/>
      <c r="BVZ7" s="24"/>
      <c r="BWA7" s="24"/>
      <c r="BWB7" s="24"/>
      <c r="BWC7" s="24"/>
      <c r="BWD7" s="24"/>
      <c r="BWE7" s="24"/>
      <c r="BWF7" s="24"/>
      <c r="BWG7" s="24"/>
      <c r="BWH7" s="24"/>
      <c r="BWI7" s="24"/>
      <c r="BWJ7" s="24"/>
      <c r="BWK7" s="24"/>
      <c r="BWL7" s="24"/>
      <c r="BWM7" s="24"/>
      <c r="BWN7" s="24"/>
      <c r="BWO7" s="24"/>
      <c r="BWP7" s="24"/>
      <c r="BWQ7" s="24"/>
      <c r="BWR7" s="24"/>
      <c r="BWS7" s="24"/>
      <c r="BWT7" s="24"/>
      <c r="BWU7" s="24"/>
      <c r="BWV7" s="24"/>
      <c r="BWW7" s="24"/>
      <c r="BWX7" s="24"/>
      <c r="BWY7" s="24"/>
      <c r="BWZ7" s="24"/>
      <c r="BXA7" s="24"/>
      <c r="BXB7" s="24"/>
      <c r="BXC7" s="24"/>
      <c r="BXD7" s="24"/>
      <c r="BXE7" s="24"/>
      <c r="BXF7" s="24"/>
      <c r="BXG7" s="24"/>
      <c r="BXH7" s="24"/>
      <c r="BXI7" s="24"/>
      <c r="BXJ7" s="24"/>
      <c r="BXK7" s="24"/>
      <c r="BXL7" s="24"/>
      <c r="BXM7" s="24"/>
      <c r="BXN7" s="24"/>
      <c r="BXO7" s="24"/>
      <c r="BXP7" s="24"/>
      <c r="BXQ7" s="24"/>
      <c r="BXR7" s="24"/>
      <c r="BXS7" s="24"/>
      <c r="BXT7" s="24"/>
      <c r="BXU7" s="24"/>
      <c r="BXV7" s="24"/>
      <c r="BXW7" s="24"/>
      <c r="BXX7" s="24"/>
      <c r="BXY7" s="24"/>
      <c r="BXZ7" s="24"/>
      <c r="BYA7" s="24"/>
      <c r="BYB7" s="24"/>
      <c r="BYC7" s="24"/>
      <c r="BYD7" s="24"/>
      <c r="BYE7" s="24"/>
      <c r="BYF7" s="24"/>
      <c r="BYG7" s="24"/>
      <c r="BYH7" s="24"/>
      <c r="BYI7" s="24"/>
      <c r="BYJ7" s="24"/>
      <c r="BYK7" s="24"/>
      <c r="BYL7" s="24"/>
      <c r="BYM7" s="24"/>
      <c r="BYN7" s="24"/>
      <c r="BYO7" s="24"/>
      <c r="BYP7" s="24"/>
      <c r="BYQ7" s="24"/>
      <c r="BYR7" s="24"/>
      <c r="BYS7" s="24"/>
      <c r="BYT7" s="24"/>
      <c r="BYU7" s="24"/>
      <c r="BYV7" s="24"/>
      <c r="BYW7" s="24"/>
      <c r="BYX7" s="24"/>
      <c r="BYY7" s="24"/>
      <c r="BYZ7" s="24"/>
      <c r="BZA7" s="24"/>
      <c r="BZB7" s="24"/>
      <c r="BZC7" s="24"/>
      <c r="BZD7" s="24"/>
      <c r="BZE7" s="24"/>
      <c r="BZF7" s="24"/>
      <c r="BZG7" s="24"/>
      <c r="BZH7" s="24"/>
      <c r="BZI7" s="24"/>
      <c r="BZJ7" s="24"/>
      <c r="BZK7" s="24"/>
      <c r="BZL7" s="24"/>
      <c r="BZM7" s="24"/>
      <c r="BZN7" s="24"/>
      <c r="BZO7" s="24"/>
      <c r="BZP7" s="24"/>
      <c r="BZQ7" s="24"/>
      <c r="BZR7" s="24"/>
      <c r="BZS7" s="24"/>
      <c r="BZT7" s="24"/>
      <c r="BZU7" s="24"/>
      <c r="BZV7" s="24"/>
      <c r="BZW7" s="24"/>
      <c r="BZX7" s="24"/>
      <c r="BZY7" s="24"/>
      <c r="BZZ7" s="24"/>
      <c r="CAA7" s="24"/>
      <c r="CAB7" s="24"/>
      <c r="CAC7" s="24"/>
      <c r="CAD7" s="24"/>
      <c r="CAE7" s="24"/>
      <c r="CAF7" s="24"/>
      <c r="CAG7" s="24"/>
      <c r="CAH7" s="24"/>
      <c r="CAI7" s="24"/>
      <c r="CAJ7" s="24"/>
      <c r="CAK7" s="24"/>
      <c r="CAL7" s="24"/>
      <c r="CAM7" s="24"/>
      <c r="CAN7" s="24"/>
      <c r="CAO7" s="24"/>
      <c r="CAP7" s="24"/>
      <c r="CAQ7" s="24"/>
      <c r="CAR7" s="24"/>
      <c r="CAS7" s="24"/>
      <c r="CAT7" s="24"/>
      <c r="CAU7" s="24"/>
      <c r="CAV7" s="24"/>
      <c r="CAW7" s="24"/>
      <c r="CAX7" s="24"/>
      <c r="CAY7" s="24"/>
      <c r="CAZ7" s="24"/>
      <c r="CBA7" s="24"/>
      <c r="CBB7" s="24"/>
      <c r="CBC7" s="24"/>
      <c r="CBD7" s="24"/>
      <c r="CBE7" s="24"/>
      <c r="CBF7" s="24"/>
      <c r="CBG7" s="24"/>
      <c r="CBH7" s="24"/>
      <c r="CBI7" s="24"/>
      <c r="CBJ7" s="24"/>
      <c r="CBK7" s="24"/>
      <c r="CBL7" s="24"/>
      <c r="CBM7" s="24"/>
      <c r="CBN7" s="24"/>
      <c r="CBO7" s="24"/>
      <c r="CBP7" s="24"/>
      <c r="CBQ7" s="24"/>
      <c r="CBR7" s="24"/>
      <c r="CBS7" s="24"/>
      <c r="CBT7" s="24"/>
      <c r="CBU7" s="24"/>
      <c r="CBV7" s="24"/>
      <c r="CBW7" s="24"/>
      <c r="CBX7" s="24"/>
      <c r="CBY7" s="24"/>
      <c r="CBZ7" s="24"/>
      <c r="CCA7" s="24"/>
      <c r="CCB7" s="24"/>
      <c r="CCC7" s="24"/>
      <c r="CCD7" s="24"/>
      <c r="CCE7" s="24"/>
      <c r="CCF7" s="24"/>
      <c r="CCG7" s="24"/>
      <c r="CCH7" s="24"/>
      <c r="CCI7" s="24"/>
      <c r="CCJ7" s="24"/>
      <c r="CCK7" s="24"/>
      <c r="CCL7" s="24"/>
      <c r="CCM7" s="24"/>
      <c r="CCN7" s="24"/>
      <c r="CCO7" s="24"/>
      <c r="CCP7" s="24"/>
      <c r="CCQ7" s="24"/>
      <c r="CCR7" s="24"/>
      <c r="CCS7" s="24"/>
      <c r="CCT7" s="24"/>
      <c r="CCU7" s="24"/>
      <c r="CCV7" s="24"/>
      <c r="CCW7" s="24"/>
      <c r="CCX7" s="24"/>
      <c r="CCY7" s="24"/>
      <c r="CCZ7" s="24"/>
      <c r="CDA7" s="24"/>
      <c r="CDB7" s="24"/>
      <c r="CDC7" s="24"/>
      <c r="CDD7" s="24"/>
      <c r="CDE7" s="24"/>
      <c r="CDF7" s="24"/>
      <c r="CDG7" s="24"/>
      <c r="CDH7" s="24"/>
      <c r="CDI7" s="24"/>
      <c r="CDJ7" s="24"/>
      <c r="CDK7" s="24"/>
      <c r="CDL7" s="24"/>
      <c r="CDM7" s="24"/>
      <c r="CDN7" s="24"/>
      <c r="CDO7" s="24"/>
      <c r="CDP7" s="24"/>
      <c r="CDQ7" s="24"/>
      <c r="CDR7" s="24"/>
      <c r="CDS7" s="24"/>
      <c r="CDT7" s="24"/>
      <c r="CDU7" s="24"/>
      <c r="CDV7" s="24"/>
      <c r="CDW7" s="24"/>
      <c r="CDX7" s="24"/>
      <c r="CDY7" s="24"/>
      <c r="CDZ7" s="24"/>
      <c r="CEA7" s="24"/>
      <c r="CEB7" s="24"/>
      <c r="CEC7" s="24"/>
      <c r="CED7" s="24"/>
      <c r="CEE7" s="24"/>
      <c r="CEF7" s="24"/>
      <c r="CEG7" s="24"/>
      <c r="CEH7" s="24"/>
      <c r="CEI7" s="24"/>
      <c r="CEJ7" s="24"/>
      <c r="CEK7" s="24"/>
      <c r="CEL7" s="24"/>
      <c r="CEM7" s="24"/>
      <c r="CEN7" s="24"/>
      <c r="CEO7" s="24"/>
      <c r="CEP7" s="24"/>
      <c r="CEQ7" s="24"/>
      <c r="CER7" s="24"/>
      <c r="CES7" s="24"/>
      <c r="CET7" s="24"/>
      <c r="CEU7" s="24"/>
      <c r="CEV7" s="24"/>
      <c r="CEW7" s="24"/>
      <c r="CEX7" s="24"/>
      <c r="CEY7" s="24"/>
      <c r="CEZ7" s="24"/>
      <c r="CFA7" s="24"/>
      <c r="CFB7" s="24"/>
      <c r="CFC7" s="24"/>
      <c r="CFD7" s="24"/>
      <c r="CFE7" s="24"/>
      <c r="CFF7" s="24"/>
      <c r="CFG7" s="24"/>
      <c r="CFH7" s="24"/>
      <c r="CFI7" s="24"/>
      <c r="CFJ7" s="24"/>
      <c r="CFK7" s="24"/>
      <c r="CFL7" s="24"/>
      <c r="CFM7" s="24"/>
      <c r="CFN7" s="24"/>
      <c r="CFO7" s="24"/>
      <c r="CFP7" s="24"/>
      <c r="CFQ7" s="24"/>
      <c r="CFR7" s="24"/>
      <c r="CFS7" s="24"/>
      <c r="CFT7" s="24"/>
      <c r="CFU7" s="24"/>
      <c r="CFV7" s="24"/>
      <c r="CFW7" s="24"/>
      <c r="CFX7" s="24"/>
      <c r="CFY7" s="24"/>
      <c r="CFZ7" s="24"/>
      <c r="CGA7" s="24"/>
      <c r="CGB7" s="24"/>
      <c r="CGC7" s="24"/>
      <c r="CGD7" s="24"/>
      <c r="CGE7" s="24"/>
      <c r="CGF7" s="24"/>
      <c r="CGG7" s="24"/>
      <c r="CGH7" s="24"/>
      <c r="CGI7" s="24"/>
      <c r="CGJ7" s="24"/>
      <c r="CGK7" s="24"/>
      <c r="CGL7" s="24"/>
      <c r="CGM7" s="24"/>
      <c r="CGN7" s="24"/>
      <c r="CGO7" s="24"/>
      <c r="CGP7" s="24"/>
      <c r="CGQ7" s="24"/>
      <c r="CGR7" s="24"/>
      <c r="CGS7" s="24"/>
      <c r="CGT7" s="24"/>
      <c r="CGU7" s="24"/>
      <c r="CGV7" s="24"/>
      <c r="CGW7" s="24"/>
      <c r="CGX7" s="24"/>
      <c r="CGY7" s="24"/>
      <c r="CGZ7" s="24"/>
      <c r="CHA7" s="24"/>
      <c r="CHB7" s="24"/>
      <c r="CHC7" s="24"/>
      <c r="CHD7" s="24"/>
      <c r="CHE7" s="24"/>
      <c r="CHF7" s="24"/>
      <c r="CHG7" s="24"/>
      <c r="CHH7" s="24"/>
      <c r="CHI7" s="24"/>
      <c r="CHJ7" s="24"/>
      <c r="CHK7" s="24"/>
      <c r="CHL7" s="24"/>
      <c r="CHM7" s="24"/>
      <c r="CHN7" s="24"/>
      <c r="CHO7" s="24"/>
      <c r="CHP7" s="24"/>
      <c r="CHQ7" s="24"/>
      <c r="CHR7" s="24"/>
      <c r="CHS7" s="24"/>
      <c r="CHT7" s="24"/>
      <c r="CHU7" s="24"/>
      <c r="CHV7" s="24"/>
      <c r="CHW7" s="24"/>
      <c r="CHX7" s="24"/>
      <c r="CHY7" s="24"/>
      <c r="CHZ7" s="24"/>
      <c r="CIA7" s="24"/>
      <c r="CIB7" s="24"/>
      <c r="CIC7" s="24"/>
      <c r="CID7" s="24"/>
      <c r="CIE7" s="24"/>
      <c r="CIF7" s="24"/>
      <c r="CIG7" s="24"/>
      <c r="CIH7" s="24"/>
      <c r="CII7" s="24"/>
      <c r="CIJ7" s="24"/>
      <c r="CIK7" s="24"/>
      <c r="CIL7" s="24"/>
      <c r="CIM7" s="24"/>
      <c r="CIN7" s="24"/>
      <c r="CIO7" s="24"/>
      <c r="CIP7" s="24"/>
      <c r="CIQ7" s="24"/>
      <c r="CIR7" s="24"/>
      <c r="CIS7" s="24"/>
      <c r="CIT7" s="24"/>
      <c r="CIU7" s="24"/>
      <c r="CIV7" s="24"/>
      <c r="CIW7" s="24"/>
      <c r="CIX7" s="24"/>
      <c r="CIY7" s="24"/>
      <c r="CIZ7" s="24"/>
      <c r="CJA7" s="24"/>
      <c r="CJB7" s="24"/>
      <c r="CJC7" s="24"/>
      <c r="CJD7" s="24"/>
      <c r="CJE7" s="24"/>
      <c r="CJF7" s="24"/>
      <c r="CJG7" s="24"/>
      <c r="CJH7" s="24"/>
      <c r="CJI7" s="24"/>
      <c r="CJJ7" s="24"/>
      <c r="CJK7" s="24"/>
      <c r="CJL7" s="24"/>
      <c r="CJM7" s="24"/>
      <c r="CJN7" s="24"/>
      <c r="CJO7" s="24"/>
      <c r="CJP7" s="24"/>
      <c r="CJQ7" s="24"/>
      <c r="CJR7" s="24"/>
      <c r="CJS7" s="24"/>
      <c r="CJT7" s="24"/>
      <c r="CJU7" s="24"/>
      <c r="CJV7" s="24"/>
      <c r="CJW7" s="24"/>
      <c r="CJX7" s="24"/>
      <c r="CJY7" s="24"/>
      <c r="CJZ7" s="24"/>
      <c r="CKA7" s="24"/>
      <c r="CKB7" s="24"/>
      <c r="CKC7" s="24"/>
      <c r="CKD7" s="24"/>
      <c r="CKE7" s="24"/>
      <c r="CKF7" s="24"/>
      <c r="CKG7" s="24"/>
      <c r="CKH7" s="24"/>
      <c r="CKI7" s="24"/>
      <c r="CKJ7" s="24"/>
      <c r="CKK7" s="24"/>
      <c r="CKL7" s="24"/>
      <c r="CKM7" s="24"/>
      <c r="CKN7" s="24"/>
      <c r="CKO7" s="24"/>
      <c r="CKP7" s="24"/>
      <c r="CKQ7" s="24"/>
      <c r="CKR7" s="24"/>
      <c r="CKS7" s="24"/>
      <c r="CKT7" s="24"/>
      <c r="CKU7" s="24"/>
      <c r="CKV7" s="24"/>
      <c r="CKW7" s="24"/>
      <c r="CKX7" s="24"/>
      <c r="CKY7" s="24"/>
      <c r="CKZ7" s="24"/>
      <c r="CLA7" s="24"/>
      <c r="CLB7" s="24"/>
      <c r="CLC7" s="24"/>
      <c r="CLD7" s="24"/>
      <c r="CLE7" s="24"/>
      <c r="CLF7" s="24"/>
      <c r="CLG7" s="24"/>
      <c r="CLH7" s="24"/>
      <c r="CLI7" s="24"/>
      <c r="CLJ7" s="24"/>
      <c r="CLK7" s="24"/>
      <c r="CLL7" s="24"/>
      <c r="CLM7" s="24"/>
      <c r="CLN7" s="24"/>
      <c r="CLO7" s="24"/>
      <c r="CLP7" s="24"/>
      <c r="CLQ7" s="24"/>
      <c r="CLR7" s="24"/>
      <c r="CLS7" s="24"/>
      <c r="CLT7" s="24"/>
      <c r="CLU7" s="24"/>
      <c r="CLV7" s="24"/>
      <c r="CLW7" s="24"/>
      <c r="CLX7" s="24"/>
      <c r="CLY7" s="24"/>
      <c r="CLZ7" s="24"/>
      <c r="CMA7" s="24"/>
      <c r="CMB7" s="24"/>
      <c r="CMC7" s="24"/>
      <c r="CMD7" s="24"/>
      <c r="CME7" s="24"/>
      <c r="CMF7" s="24"/>
      <c r="CMG7" s="24"/>
      <c r="CMH7" s="24"/>
      <c r="CMI7" s="24"/>
      <c r="CMJ7" s="24"/>
      <c r="CMK7" s="24"/>
      <c r="CML7" s="24"/>
      <c r="CMM7" s="24"/>
      <c r="CMN7" s="24"/>
      <c r="CMO7" s="24"/>
      <c r="CMP7" s="24"/>
      <c r="CMQ7" s="24"/>
      <c r="CMR7" s="24"/>
      <c r="CMS7" s="24"/>
      <c r="CMT7" s="24"/>
      <c r="CMU7" s="24"/>
      <c r="CMV7" s="24"/>
      <c r="CMW7" s="24"/>
      <c r="CMX7" s="24"/>
      <c r="CMY7" s="24"/>
      <c r="CMZ7" s="24"/>
      <c r="CNA7" s="24"/>
      <c r="CNB7" s="24"/>
      <c r="CNC7" s="24"/>
      <c r="CND7" s="24"/>
      <c r="CNE7" s="24"/>
      <c r="CNF7" s="24"/>
      <c r="CNG7" s="24"/>
      <c r="CNH7" s="24"/>
      <c r="CNI7" s="24"/>
      <c r="CNJ7" s="24"/>
      <c r="CNK7" s="24"/>
      <c r="CNL7" s="24"/>
      <c r="CNM7" s="24"/>
      <c r="CNN7" s="24"/>
      <c r="CNO7" s="24"/>
      <c r="CNP7" s="24"/>
      <c r="CNQ7" s="24"/>
      <c r="CNR7" s="24"/>
      <c r="CNS7" s="24"/>
      <c r="CNT7" s="24"/>
      <c r="CNU7" s="24"/>
      <c r="CNV7" s="24"/>
      <c r="CNW7" s="24"/>
      <c r="CNX7" s="24"/>
      <c r="CNY7" s="24"/>
      <c r="CNZ7" s="24"/>
      <c r="COA7" s="24"/>
      <c r="COB7" s="24"/>
      <c r="COC7" s="24"/>
      <c r="COD7" s="24"/>
      <c r="COE7" s="24"/>
      <c r="COF7" s="24"/>
      <c r="COG7" s="24"/>
      <c r="COH7" s="24"/>
      <c r="COI7" s="24"/>
      <c r="COJ7" s="24"/>
      <c r="COK7" s="24"/>
      <c r="COL7" s="24"/>
      <c r="COM7" s="24"/>
      <c r="CON7" s="24"/>
      <c r="COO7" s="24"/>
      <c r="COP7" s="24"/>
      <c r="COQ7" s="24"/>
      <c r="COR7" s="24"/>
      <c r="COS7" s="24"/>
      <c r="COT7" s="24"/>
      <c r="COU7" s="24"/>
      <c r="COV7" s="24"/>
      <c r="COW7" s="24"/>
      <c r="COX7" s="24"/>
      <c r="COY7" s="24"/>
      <c r="COZ7" s="24"/>
      <c r="CPA7" s="24"/>
      <c r="CPB7" s="24"/>
      <c r="CPC7" s="24"/>
      <c r="CPD7" s="24"/>
      <c r="CPE7" s="24"/>
      <c r="CPF7" s="24"/>
      <c r="CPG7" s="24"/>
      <c r="CPH7" s="24"/>
      <c r="CPI7" s="24"/>
      <c r="CPJ7" s="24"/>
      <c r="CPK7" s="24"/>
      <c r="CPL7" s="24"/>
      <c r="CPM7" s="24"/>
      <c r="CPN7" s="24"/>
      <c r="CPO7" s="24"/>
      <c r="CPP7" s="24"/>
      <c r="CPQ7" s="24"/>
      <c r="CPR7" s="24"/>
      <c r="CPS7" s="24"/>
      <c r="CPT7" s="24"/>
      <c r="CPU7" s="24"/>
      <c r="CPV7" s="24"/>
      <c r="CPW7" s="24"/>
      <c r="CPX7" s="24"/>
      <c r="CPY7" s="24"/>
      <c r="CPZ7" s="24"/>
      <c r="CQA7" s="24"/>
      <c r="CQB7" s="24"/>
      <c r="CQC7" s="24"/>
      <c r="CQD7" s="24"/>
      <c r="CQE7" s="24"/>
      <c r="CQF7" s="24"/>
      <c r="CQG7" s="24"/>
      <c r="CQH7" s="24"/>
      <c r="CQI7" s="24"/>
      <c r="CQJ7" s="24"/>
      <c r="CQK7" s="24"/>
      <c r="CQL7" s="24"/>
      <c r="CQM7" s="24"/>
      <c r="CQN7" s="24"/>
      <c r="CQO7" s="24"/>
      <c r="CQP7" s="24"/>
      <c r="CQQ7" s="24"/>
      <c r="CQR7" s="24"/>
      <c r="CQS7" s="24"/>
      <c r="CQT7" s="24"/>
      <c r="CQU7" s="24"/>
      <c r="CQV7" s="24"/>
      <c r="CQW7" s="24"/>
      <c r="CQX7" s="24"/>
      <c r="CQY7" s="24"/>
      <c r="CQZ7" s="24"/>
      <c r="CRA7" s="24"/>
      <c r="CRB7" s="24"/>
      <c r="CRC7" s="24"/>
      <c r="CRD7" s="24"/>
      <c r="CRE7" s="24"/>
      <c r="CRF7" s="24"/>
      <c r="CRG7" s="24"/>
      <c r="CRH7" s="24"/>
      <c r="CRI7" s="24"/>
      <c r="CRJ7" s="24"/>
      <c r="CRK7" s="24"/>
      <c r="CRL7" s="24"/>
      <c r="CRM7" s="24"/>
      <c r="CRN7" s="24"/>
      <c r="CRO7" s="24"/>
      <c r="CRP7" s="24"/>
      <c r="CRQ7" s="24"/>
      <c r="CRR7" s="24"/>
      <c r="CRS7" s="24"/>
      <c r="CRT7" s="24"/>
      <c r="CRU7" s="24"/>
      <c r="CRV7" s="24"/>
      <c r="CRW7" s="24"/>
      <c r="CRX7" s="24"/>
      <c r="CRY7" s="24"/>
      <c r="CRZ7" s="24"/>
      <c r="CSA7" s="24"/>
      <c r="CSB7" s="24"/>
      <c r="CSC7" s="24"/>
      <c r="CSD7" s="24"/>
      <c r="CSE7" s="24"/>
      <c r="CSF7" s="24"/>
      <c r="CSG7" s="24"/>
      <c r="CSH7" s="24"/>
      <c r="CSI7" s="24"/>
      <c r="CSJ7" s="24"/>
      <c r="CSK7" s="24"/>
      <c r="CSL7" s="24"/>
      <c r="CSM7" s="24"/>
      <c r="CSN7" s="24"/>
      <c r="CSO7" s="24"/>
      <c r="CSP7" s="24"/>
      <c r="CSQ7" s="24"/>
      <c r="CSR7" s="24"/>
      <c r="CSS7" s="24"/>
      <c r="CST7" s="24"/>
      <c r="CSU7" s="24"/>
      <c r="CSV7" s="24"/>
      <c r="CSW7" s="24"/>
      <c r="CSX7" s="24"/>
      <c r="CSY7" s="24"/>
      <c r="CSZ7" s="24"/>
      <c r="CTA7" s="24"/>
      <c r="CTB7" s="24"/>
      <c r="CTC7" s="24"/>
      <c r="CTD7" s="24"/>
      <c r="CTE7" s="24"/>
      <c r="CTF7" s="24"/>
      <c r="CTG7" s="24"/>
      <c r="CTH7" s="24"/>
      <c r="CTI7" s="24"/>
      <c r="CTJ7" s="24"/>
      <c r="CTK7" s="24"/>
      <c r="CTL7" s="24"/>
      <c r="CTM7" s="24"/>
      <c r="CTN7" s="24"/>
      <c r="CTO7" s="24"/>
      <c r="CTP7" s="24"/>
      <c r="CTQ7" s="24"/>
      <c r="CTR7" s="24"/>
      <c r="CTS7" s="24"/>
      <c r="CTT7" s="24"/>
      <c r="CTU7" s="24"/>
      <c r="CTV7" s="24"/>
      <c r="CTW7" s="24"/>
      <c r="CTX7" s="24"/>
      <c r="CTY7" s="24"/>
      <c r="CTZ7" s="24"/>
      <c r="CUA7" s="24"/>
      <c r="CUB7" s="24"/>
      <c r="CUC7" s="24"/>
      <c r="CUD7" s="24"/>
      <c r="CUE7" s="24"/>
      <c r="CUF7" s="24"/>
      <c r="CUG7" s="24"/>
      <c r="CUH7" s="24"/>
      <c r="CUI7" s="24"/>
      <c r="CUJ7" s="24"/>
      <c r="CUK7" s="24"/>
      <c r="CUL7" s="24"/>
      <c r="CUM7" s="24"/>
      <c r="CUN7" s="24"/>
      <c r="CUO7" s="24"/>
      <c r="CUP7" s="24"/>
      <c r="CUQ7" s="24"/>
      <c r="CUR7" s="24"/>
      <c r="CUS7" s="24"/>
      <c r="CUT7" s="24"/>
      <c r="CUU7" s="24"/>
      <c r="CUV7" s="24"/>
      <c r="CUW7" s="24"/>
      <c r="CUX7" s="24"/>
      <c r="CUY7" s="24"/>
      <c r="CUZ7" s="24"/>
      <c r="CVA7" s="24"/>
      <c r="CVB7" s="24"/>
      <c r="CVC7" s="24"/>
      <c r="CVD7" s="24"/>
      <c r="CVE7" s="24"/>
      <c r="CVF7" s="24"/>
      <c r="CVG7" s="24"/>
      <c r="CVH7" s="24"/>
      <c r="CVI7" s="24"/>
      <c r="CVJ7" s="24"/>
      <c r="CVK7" s="24"/>
      <c r="CVL7" s="24"/>
      <c r="CVM7" s="24"/>
      <c r="CVN7" s="24"/>
      <c r="CVO7" s="24"/>
      <c r="CVP7" s="24"/>
      <c r="CVQ7" s="24"/>
      <c r="CVR7" s="24"/>
      <c r="CVS7" s="24"/>
      <c r="CVT7" s="24"/>
      <c r="CVU7" s="24"/>
      <c r="CVV7" s="24"/>
      <c r="CVW7" s="24"/>
      <c r="CVX7" s="24"/>
      <c r="CVY7" s="24"/>
      <c r="CVZ7" s="24"/>
      <c r="CWA7" s="24"/>
      <c r="CWB7" s="24"/>
      <c r="CWC7" s="24"/>
      <c r="CWD7" s="24"/>
      <c r="CWE7" s="24"/>
      <c r="CWF7" s="24"/>
      <c r="CWG7" s="24"/>
      <c r="CWH7" s="24"/>
      <c r="CWI7" s="24"/>
      <c r="CWJ7" s="24"/>
      <c r="CWK7" s="24"/>
      <c r="CWL7" s="24"/>
      <c r="CWM7" s="24"/>
      <c r="CWN7" s="24"/>
      <c r="CWO7" s="24"/>
      <c r="CWP7" s="24"/>
      <c r="CWQ7" s="24"/>
      <c r="CWR7" s="24"/>
      <c r="CWS7" s="24"/>
      <c r="CWT7" s="24"/>
      <c r="CWU7" s="24"/>
      <c r="CWV7" s="24"/>
      <c r="CWW7" s="24"/>
      <c r="CWX7" s="24"/>
      <c r="CWY7" s="24"/>
      <c r="CWZ7" s="24"/>
      <c r="CXA7" s="24"/>
      <c r="CXB7" s="24"/>
      <c r="CXC7" s="24"/>
      <c r="CXD7" s="24"/>
      <c r="CXE7" s="24"/>
      <c r="CXF7" s="24"/>
      <c r="CXG7" s="24"/>
      <c r="CXH7" s="24"/>
      <c r="CXI7" s="24"/>
      <c r="CXJ7" s="24"/>
      <c r="CXK7" s="24"/>
      <c r="CXL7" s="24"/>
      <c r="CXM7" s="24"/>
      <c r="CXN7" s="24"/>
      <c r="CXO7" s="24"/>
      <c r="CXP7" s="24"/>
      <c r="CXQ7" s="24"/>
      <c r="CXR7" s="24"/>
      <c r="CXS7" s="24"/>
      <c r="CXT7" s="24"/>
      <c r="CXU7" s="24"/>
      <c r="CXV7" s="24"/>
      <c r="CXW7" s="24"/>
      <c r="CXX7" s="24"/>
      <c r="CXY7" s="24"/>
      <c r="CXZ7" s="24"/>
      <c r="CYA7" s="24"/>
      <c r="CYB7" s="24"/>
      <c r="CYC7" s="24"/>
      <c r="CYD7" s="24"/>
      <c r="CYE7" s="24"/>
      <c r="CYF7" s="24"/>
      <c r="CYG7" s="24"/>
      <c r="CYH7" s="24"/>
      <c r="CYI7" s="24"/>
      <c r="CYJ7" s="24"/>
      <c r="CYK7" s="24"/>
      <c r="CYL7" s="24"/>
      <c r="CYM7" s="24"/>
      <c r="CYN7" s="24"/>
      <c r="CYO7" s="24"/>
      <c r="CYP7" s="24"/>
      <c r="CYQ7" s="24"/>
      <c r="CYR7" s="24"/>
      <c r="CYS7" s="24"/>
      <c r="CYT7" s="24"/>
      <c r="CYU7" s="24"/>
      <c r="CYV7" s="24"/>
      <c r="CYW7" s="24"/>
      <c r="CYX7" s="24"/>
      <c r="CYY7" s="24"/>
      <c r="CYZ7" s="24"/>
      <c r="CZA7" s="24"/>
      <c r="CZB7" s="24"/>
      <c r="CZC7" s="24"/>
      <c r="CZD7" s="24"/>
      <c r="CZE7" s="24"/>
      <c r="CZF7" s="24"/>
      <c r="CZG7" s="24"/>
      <c r="CZH7" s="24"/>
      <c r="CZI7" s="24"/>
      <c r="CZJ7" s="24"/>
      <c r="CZK7" s="24"/>
      <c r="CZL7" s="24"/>
      <c r="CZM7" s="24"/>
      <c r="CZN7" s="24"/>
      <c r="CZO7" s="24"/>
      <c r="CZP7" s="24"/>
      <c r="CZQ7" s="24"/>
      <c r="CZR7" s="24"/>
      <c r="CZS7" s="24"/>
      <c r="CZT7" s="24"/>
      <c r="CZU7" s="24"/>
      <c r="CZV7" s="24"/>
      <c r="CZW7" s="24"/>
      <c r="CZX7" s="24"/>
      <c r="CZY7" s="24"/>
      <c r="CZZ7" s="24"/>
      <c r="DAA7" s="24"/>
      <c r="DAB7" s="24"/>
      <c r="DAC7" s="24"/>
      <c r="DAD7" s="24"/>
      <c r="DAE7" s="24"/>
      <c r="DAF7" s="24"/>
      <c r="DAG7" s="24"/>
      <c r="DAH7" s="24"/>
      <c r="DAI7" s="24"/>
      <c r="DAJ7" s="24"/>
      <c r="DAK7" s="24"/>
      <c r="DAL7" s="24"/>
      <c r="DAM7" s="24"/>
      <c r="DAN7" s="24"/>
      <c r="DAO7" s="24"/>
      <c r="DAP7" s="24"/>
      <c r="DAQ7" s="24"/>
      <c r="DAR7" s="24"/>
      <c r="DAS7" s="24"/>
      <c r="DAT7" s="24"/>
      <c r="DAU7" s="24"/>
      <c r="DAV7" s="24"/>
      <c r="DAW7" s="24"/>
      <c r="DAX7" s="24"/>
      <c r="DAY7" s="24"/>
      <c r="DAZ7" s="24"/>
      <c r="DBA7" s="24"/>
      <c r="DBB7" s="24"/>
      <c r="DBC7" s="24"/>
      <c r="DBD7" s="24"/>
      <c r="DBE7" s="24"/>
      <c r="DBF7" s="24"/>
      <c r="DBG7" s="24"/>
      <c r="DBH7" s="24"/>
      <c r="DBI7" s="24"/>
      <c r="DBJ7" s="24"/>
      <c r="DBK7" s="24"/>
      <c r="DBL7" s="24"/>
      <c r="DBM7" s="24"/>
      <c r="DBN7" s="24"/>
      <c r="DBO7" s="24"/>
      <c r="DBP7" s="24"/>
      <c r="DBQ7" s="24"/>
      <c r="DBR7" s="24"/>
      <c r="DBS7" s="24"/>
      <c r="DBT7" s="24"/>
      <c r="DBU7" s="24"/>
      <c r="DBV7" s="24"/>
      <c r="DBW7" s="24"/>
      <c r="DBX7" s="24"/>
      <c r="DBY7" s="24"/>
      <c r="DBZ7" s="24"/>
      <c r="DCA7" s="24"/>
      <c r="DCB7" s="24"/>
      <c r="DCC7" s="24"/>
      <c r="DCD7" s="24"/>
      <c r="DCE7" s="24"/>
      <c r="DCF7" s="24"/>
      <c r="DCG7" s="24"/>
      <c r="DCH7" s="24"/>
      <c r="DCI7" s="24"/>
      <c r="DCJ7" s="24"/>
      <c r="DCK7" s="24"/>
      <c r="DCL7" s="24"/>
      <c r="DCM7" s="24"/>
      <c r="DCN7" s="24"/>
      <c r="DCO7" s="24"/>
      <c r="DCP7" s="24"/>
      <c r="DCQ7" s="24"/>
      <c r="DCR7" s="24"/>
      <c r="DCS7" s="24"/>
      <c r="DCT7" s="24"/>
      <c r="DCU7" s="24"/>
      <c r="DCV7" s="24"/>
      <c r="DCW7" s="24"/>
      <c r="DCX7" s="24"/>
      <c r="DCY7" s="24"/>
      <c r="DCZ7" s="24"/>
      <c r="DDA7" s="24"/>
      <c r="DDB7" s="24"/>
      <c r="DDC7" s="24"/>
      <c r="DDD7" s="24"/>
      <c r="DDE7" s="24"/>
      <c r="DDF7" s="24"/>
      <c r="DDG7" s="24"/>
      <c r="DDH7" s="24"/>
      <c r="DDI7" s="24"/>
      <c r="DDJ7" s="24"/>
      <c r="DDK7" s="24"/>
      <c r="DDL7" s="24"/>
      <c r="DDM7" s="24"/>
      <c r="DDN7" s="24"/>
      <c r="DDO7" s="24"/>
      <c r="DDP7" s="24"/>
      <c r="DDQ7" s="24"/>
      <c r="DDR7" s="24"/>
      <c r="DDS7" s="24"/>
      <c r="DDT7" s="24"/>
      <c r="DDU7" s="24"/>
      <c r="DDV7" s="24"/>
      <c r="DDW7" s="24"/>
      <c r="DDX7" s="24"/>
      <c r="DDY7" s="24"/>
      <c r="DDZ7" s="24"/>
      <c r="DEA7" s="24"/>
      <c r="DEB7" s="24"/>
      <c r="DEC7" s="24"/>
      <c r="DED7" s="24"/>
      <c r="DEE7" s="24"/>
      <c r="DEF7" s="24"/>
      <c r="DEG7" s="24"/>
      <c r="DEH7" s="24"/>
      <c r="DEI7" s="24"/>
      <c r="DEJ7" s="24"/>
      <c r="DEK7" s="24"/>
      <c r="DEL7" s="24"/>
      <c r="DEM7" s="24"/>
      <c r="DEN7" s="24"/>
      <c r="DEO7" s="24"/>
      <c r="DEP7" s="24"/>
      <c r="DEQ7" s="24"/>
      <c r="DER7" s="24"/>
      <c r="DES7" s="24"/>
      <c r="DET7" s="24"/>
      <c r="DEU7" s="24"/>
      <c r="DEV7" s="24"/>
      <c r="DEW7" s="24"/>
      <c r="DEX7" s="24"/>
      <c r="DEY7" s="24"/>
      <c r="DEZ7" s="24"/>
      <c r="DFA7" s="24"/>
      <c r="DFB7" s="24"/>
      <c r="DFC7" s="24"/>
      <c r="DFD7" s="24"/>
      <c r="DFE7" s="24"/>
      <c r="DFF7" s="24"/>
      <c r="DFG7" s="24"/>
      <c r="DFH7" s="24"/>
      <c r="DFI7" s="24"/>
      <c r="DFJ7" s="24"/>
      <c r="DFK7" s="24"/>
      <c r="DFL7" s="24"/>
      <c r="DFM7" s="24"/>
      <c r="DFN7" s="24"/>
      <c r="DFO7" s="24"/>
      <c r="DFP7" s="24"/>
      <c r="DFQ7" s="24"/>
      <c r="DFR7" s="24"/>
      <c r="DFS7" s="24"/>
      <c r="DFT7" s="24"/>
      <c r="DFU7" s="24"/>
      <c r="DFV7" s="24"/>
      <c r="DFW7" s="24"/>
      <c r="DFX7" s="24"/>
      <c r="DFY7" s="24"/>
      <c r="DFZ7" s="24"/>
      <c r="DGA7" s="24"/>
      <c r="DGB7" s="24"/>
      <c r="DGC7" s="24"/>
      <c r="DGD7" s="24"/>
      <c r="DGE7" s="24"/>
      <c r="DGF7" s="24"/>
      <c r="DGG7" s="24"/>
      <c r="DGH7" s="24"/>
      <c r="DGI7" s="24"/>
      <c r="DGJ7" s="24"/>
      <c r="DGK7" s="24"/>
      <c r="DGL7" s="24"/>
      <c r="DGM7" s="24"/>
      <c r="DGN7" s="24"/>
      <c r="DGO7" s="24"/>
      <c r="DGP7" s="24"/>
      <c r="DGQ7" s="24"/>
      <c r="DGR7" s="24"/>
      <c r="DGS7" s="24"/>
      <c r="DGT7" s="24"/>
      <c r="DGU7" s="24"/>
      <c r="DGV7" s="24"/>
      <c r="DGW7" s="24"/>
      <c r="DGX7" s="24"/>
      <c r="DGY7" s="24"/>
      <c r="DGZ7" s="24"/>
      <c r="DHA7" s="24"/>
      <c r="DHB7" s="24"/>
      <c r="DHC7" s="24"/>
      <c r="DHD7" s="24"/>
      <c r="DHE7" s="24"/>
      <c r="DHF7" s="24"/>
      <c r="DHG7" s="24"/>
      <c r="DHH7" s="24"/>
      <c r="DHI7" s="24"/>
      <c r="DHJ7" s="24"/>
      <c r="DHK7" s="24"/>
      <c r="DHL7" s="24"/>
      <c r="DHM7" s="24"/>
      <c r="DHN7" s="24"/>
      <c r="DHO7" s="24"/>
      <c r="DHP7" s="24"/>
      <c r="DHQ7" s="24"/>
      <c r="DHR7" s="24"/>
      <c r="DHS7" s="24"/>
      <c r="DHT7" s="24"/>
      <c r="DHU7" s="24"/>
      <c r="DHV7" s="24"/>
      <c r="DHW7" s="24"/>
      <c r="DHX7" s="24"/>
      <c r="DHY7" s="24"/>
      <c r="DHZ7" s="24"/>
      <c r="DIA7" s="24"/>
      <c r="DIB7" s="24"/>
      <c r="DIC7" s="24"/>
      <c r="DID7" s="24"/>
      <c r="DIE7" s="24"/>
      <c r="DIF7" s="24"/>
      <c r="DIG7" s="24"/>
      <c r="DIH7" s="24"/>
      <c r="DII7" s="24"/>
      <c r="DIJ7" s="24"/>
      <c r="DIK7" s="24"/>
      <c r="DIL7" s="24"/>
      <c r="DIM7" s="24"/>
      <c r="DIN7" s="24"/>
      <c r="DIO7" s="24"/>
      <c r="DIP7" s="24"/>
      <c r="DIQ7" s="24"/>
      <c r="DIR7" s="24"/>
      <c r="DIS7" s="24"/>
      <c r="DIT7" s="24"/>
      <c r="DIU7" s="24"/>
      <c r="DIV7" s="24"/>
      <c r="DIW7" s="24"/>
      <c r="DIX7" s="24"/>
      <c r="DIY7" s="24"/>
      <c r="DIZ7" s="24"/>
      <c r="DJA7" s="24"/>
      <c r="DJB7" s="24"/>
      <c r="DJC7" s="24"/>
      <c r="DJD7" s="24"/>
      <c r="DJE7" s="24"/>
      <c r="DJF7" s="24"/>
      <c r="DJG7" s="24"/>
      <c r="DJH7" s="24"/>
      <c r="DJI7" s="24"/>
      <c r="DJJ7" s="24"/>
      <c r="DJK7" s="24"/>
      <c r="DJL7" s="24"/>
      <c r="DJM7" s="24"/>
      <c r="DJN7" s="24"/>
      <c r="DJO7" s="24"/>
      <c r="DJP7" s="24"/>
      <c r="DJQ7" s="24"/>
      <c r="DJR7" s="24"/>
      <c r="DJS7" s="24"/>
      <c r="DJT7" s="24"/>
      <c r="DJU7" s="24"/>
      <c r="DJV7" s="24"/>
      <c r="DJW7" s="24"/>
      <c r="DJX7" s="24"/>
      <c r="DJY7" s="24"/>
      <c r="DJZ7" s="24"/>
      <c r="DKA7" s="24"/>
      <c r="DKB7" s="24"/>
      <c r="DKC7" s="24"/>
      <c r="DKD7" s="24"/>
      <c r="DKE7" s="24"/>
      <c r="DKF7" s="24"/>
      <c r="DKG7" s="24"/>
      <c r="DKH7" s="24"/>
      <c r="DKI7" s="24"/>
      <c r="DKJ7" s="24"/>
      <c r="DKK7" s="24"/>
      <c r="DKL7" s="24"/>
      <c r="DKM7" s="24"/>
      <c r="DKN7" s="24"/>
      <c r="DKO7" s="24"/>
      <c r="DKP7" s="24"/>
      <c r="DKQ7" s="24"/>
      <c r="DKR7" s="24"/>
      <c r="DKS7" s="24"/>
      <c r="DKT7" s="24"/>
      <c r="DKU7" s="24"/>
      <c r="DKV7" s="24"/>
      <c r="DKW7" s="24"/>
      <c r="DKX7" s="24"/>
      <c r="DKY7" s="24"/>
      <c r="DKZ7" s="24"/>
      <c r="DLA7" s="24"/>
      <c r="DLB7" s="24"/>
      <c r="DLC7" s="24"/>
      <c r="DLD7" s="24"/>
      <c r="DLE7" s="24"/>
      <c r="DLF7" s="24"/>
      <c r="DLG7" s="24"/>
      <c r="DLH7" s="24"/>
      <c r="DLI7" s="24"/>
      <c r="DLJ7" s="24"/>
      <c r="DLK7" s="24"/>
      <c r="DLL7" s="24"/>
      <c r="DLM7" s="24"/>
      <c r="DLN7" s="24"/>
      <c r="DLO7" s="24"/>
      <c r="DLP7" s="24"/>
      <c r="DLQ7" s="24"/>
      <c r="DLR7" s="24"/>
      <c r="DLS7" s="24"/>
      <c r="DLT7" s="24"/>
      <c r="DLU7" s="24"/>
      <c r="DLV7" s="24"/>
      <c r="DLW7" s="24"/>
      <c r="DLX7" s="24"/>
      <c r="DLY7" s="24"/>
      <c r="DLZ7" s="24"/>
      <c r="DMA7" s="24"/>
      <c r="DMB7" s="24"/>
      <c r="DMC7" s="24"/>
      <c r="DMD7" s="24"/>
      <c r="DME7" s="24"/>
      <c r="DMF7" s="24"/>
      <c r="DMG7" s="24"/>
      <c r="DMH7" s="24"/>
      <c r="DMI7" s="24"/>
      <c r="DMJ7" s="24"/>
      <c r="DMK7" s="24"/>
      <c r="DML7" s="24"/>
      <c r="DMM7" s="24"/>
      <c r="DMN7" s="24"/>
      <c r="DMO7" s="24"/>
      <c r="DMP7" s="24"/>
      <c r="DMQ7" s="24"/>
      <c r="DMR7" s="24"/>
      <c r="DMS7" s="24"/>
      <c r="DMT7" s="24"/>
      <c r="DMU7" s="24"/>
      <c r="DMV7" s="24"/>
      <c r="DMW7" s="24"/>
      <c r="DMX7" s="24"/>
      <c r="DMY7" s="24"/>
      <c r="DMZ7" s="24"/>
      <c r="DNA7" s="24"/>
      <c r="DNB7" s="24"/>
      <c r="DNC7" s="24"/>
      <c r="DND7" s="24"/>
      <c r="DNE7" s="24"/>
      <c r="DNF7" s="24"/>
      <c r="DNG7" s="24"/>
      <c r="DNH7" s="24"/>
      <c r="DNI7" s="24"/>
      <c r="DNJ7" s="24"/>
      <c r="DNK7" s="24"/>
      <c r="DNL7" s="24"/>
      <c r="DNM7" s="24"/>
      <c r="DNN7" s="24"/>
      <c r="DNO7" s="24"/>
      <c r="DNP7" s="24"/>
      <c r="DNQ7" s="24"/>
      <c r="DNR7" s="24"/>
      <c r="DNS7" s="24"/>
      <c r="DNT7" s="24"/>
      <c r="DNU7" s="24"/>
      <c r="DNV7" s="24"/>
      <c r="DNW7" s="24"/>
      <c r="DNX7" s="24"/>
      <c r="DNY7" s="24"/>
      <c r="DNZ7" s="24"/>
      <c r="DOA7" s="24"/>
      <c r="DOB7" s="24"/>
      <c r="DOC7" s="24"/>
      <c r="DOD7" s="24"/>
      <c r="DOE7" s="24"/>
      <c r="DOF7" s="24"/>
      <c r="DOG7" s="24"/>
      <c r="DOH7" s="24"/>
      <c r="DOI7" s="24"/>
      <c r="DOJ7" s="24"/>
      <c r="DOK7" s="24"/>
      <c r="DOL7" s="24"/>
      <c r="DOM7" s="24"/>
      <c r="DON7" s="24"/>
      <c r="DOO7" s="24"/>
      <c r="DOP7" s="24"/>
      <c r="DOQ7" s="24"/>
      <c r="DOR7" s="24"/>
      <c r="DOS7" s="24"/>
      <c r="DOT7" s="24"/>
      <c r="DOU7" s="24"/>
      <c r="DOV7" s="24"/>
      <c r="DOW7" s="24"/>
      <c r="DOX7" s="24"/>
      <c r="DOY7" s="24"/>
      <c r="DOZ7" s="24"/>
      <c r="DPA7" s="24"/>
      <c r="DPB7" s="24"/>
      <c r="DPC7" s="24"/>
      <c r="DPD7" s="24"/>
      <c r="DPE7" s="24"/>
      <c r="DPF7" s="24"/>
      <c r="DPG7" s="24"/>
      <c r="DPH7" s="24"/>
      <c r="DPI7" s="24"/>
      <c r="DPJ7" s="24"/>
      <c r="DPK7" s="24"/>
      <c r="DPL7" s="24"/>
      <c r="DPM7" s="24"/>
      <c r="DPN7" s="24"/>
      <c r="DPO7" s="24"/>
      <c r="DPP7" s="24"/>
      <c r="DPQ7" s="24"/>
      <c r="DPR7" s="24"/>
      <c r="DPS7" s="24"/>
      <c r="DPT7" s="24"/>
      <c r="DPU7" s="24"/>
      <c r="DPV7" s="24"/>
      <c r="DPW7" s="24"/>
      <c r="DPX7" s="24"/>
      <c r="DPY7" s="24"/>
      <c r="DPZ7" s="24"/>
      <c r="DQA7" s="24"/>
      <c r="DQB7" s="24"/>
      <c r="DQC7" s="24"/>
      <c r="DQD7" s="24"/>
      <c r="DQE7" s="24"/>
      <c r="DQF7" s="24"/>
      <c r="DQG7" s="24"/>
      <c r="DQH7" s="24"/>
      <c r="DQI7" s="24"/>
      <c r="DQJ7" s="24"/>
      <c r="DQK7" s="24"/>
      <c r="DQL7" s="24"/>
      <c r="DQM7" s="24"/>
      <c r="DQN7" s="24"/>
      <c r="DQO7" s="24"/>
      <c r="DQP7" s="24"/>
      <c r="DQQ7" s="24"/>
      <c r="DQR7" s="24"/>
      <c r="DQS7" s="24"/>
      <c r="DQT7" s="24"/>
      <c r="DQU7" s="24"/>
      <c r="DQV7" s="24"/>
      <c r="DQW7" s="24"/>
      <c r="DQX7" s="24"/>
      <c r="DQY7" s="24"/>
      <c r="DQZ7" s="24"/>
      <c r="DRA7" s="24"/>
      <c r="DRB7" s="24"/>
      <c r="DRC7" s="24"/>
      <c r="DRD7" s="24"/>
      <c r="DRE7" s="24"/>
      <c r="DRF7" s="24"/>
      <c r="DRG7" s="24"/>
      <c r="DRH7" s="24"/>
      <c r="DRI7" s="24"/>
      <c r="DRJ7" s="24"/>
      <c r="DRK7" s="24"/>
      <c r="DRL7" s="24"/>
      <c r="DRM7" s="24"/>
      <c r="DRN7" s="24"/>
      <c r="DRO7" s="24"/>
      <c r="DRP7" s="24"/>
      <c r="DRQ7" s="24"/>
      <c r="DRR7" s="24"/>
      <c r="DRS7" s="24"/>
      <c r="DRT7" s="24"/>
      <c r="DRU7" s="24"/>
      <c r="DRV7" s="24"/>
      <c r="DRW7" s="24"/>
      <c r="DRX7" s="24"/>
      <c r="DRY7" s="24"/>
      <c r="DRZ7" s="24"/>
      <c r="DSA7" s="24"/>
      <c r="DSB7" s="24"/>
      <c r="DSC7" s="24"/>
      <c r="DSD7" s="24"/>
      <c r="DSE7" s="24"/>
      <c r="DSF7" s="24"/>
      <c r="DSG7" s="24"/>
      <c r="DSH7" s="24"/>
      <c r="DSI7" s="24"/>
      <c r="DSJ7" s="24"/>
      <c r="DSK7" s="24"/>
      <c r="DSL7" s="24"/>
      <c r="DSM7" s="24"/>
      <c r="DSN7" s="24"/>
      <c r="DSO7" s="24"/>
      <c r="DSP7" s="24"/>
      <c r="DSQ7" s="24"/>
      <c r="DSR7" s="24"/>
      <c r="DSS7" s="24"/>
      <c r="DST7" s="24"/>
      <c r="DSU7" s="24"/>
      <c r="DSV7" s="24"/>
      <c r="DSW7" s="24"/>
      <c r="DSX7" s="24"/>
      <c r="DSY7" s="24"/>
      <c r="DSZ7" s="24"/>
      <c r="DTA7" s="24"/>
      <c r="DTB7" s="24"/>
      <c r="DTC7" s="24"/>
      <c r="DTD7" s="24"/>
      <c r="DTE7" s="24"/>
      <c r="DTF7" s="24"/>
      <c r="DTG7" s="24"/>
      <c r="DTH7" s="24"/>
      <c r="DTI7" s="24"/>
      <c r="DTJ7" s="24"/>
      <c r="DTK7" s="24"/>
      <c r="DTL7" s="24"/>
      <c r="DTM7" s="24"/>
      <c r="DTN7" s="24"/>
      <c r="DTO7" s="24"/>
      <c r="DTP7" s="24"/>
      <c r="DTQ7" s="24"/>
      <c r="DTR7" s="24"/>
      <c r="DTS7" s="24"/>
      <c r="DTT7" s="24"/>
      <c r="DTU7" s="24"/>
      <c r="DTV7" s="24"/>
      <c r="DTW7" s="24"/>
      <c r="DTX7" s="24"/>
      <c r="DTY7" s="24"/>
      <c r="DTZ7" s="24"/>
      <c r="DUA7" s="24"/>
      <c r="DUB7" s="24"/>
      <c r="DUC7" s="24"/>
      <c r="DUD7" s="24"/>
      <c r="DUE7" s="24"/>
      <c r="DUF7" s="24"/>
      <c r="DUG7" s="24"/>
      <c r="DUH7" s="24"/>
      <c r="DUI7" s="24"/>
      <c r="DUJ7" s="24"/>
      <c r="DUK7" s="24"/>
      <c r="DUL7" s="24"/>
      <c r="DUM7" s="24"/>
      <c r="DUN7" s="24"/>
      <c r="DUO7" s="24"/>
      <c r="DUP7" s="24"/>
      <c r="DUQ7" s="24"/>
      <c r="DUR7" s="24"/>
      <c r="DUS7" s="24"/>
      <c r="DUT7" s="24"/>
      <c r="DUU7" s="24"/>
      <c r="DUV7" s="24"/>
      <c r="DUW7" s="24"/>
      <c r="DUX7" s="24"/>
      <c r="DUY7" s="24"/>
      <c r="DUZ7" s="24"/>
      <c r="DVA7" s="24"/>
      <c r="DVB7" s="24"/>
      <c r="DVC7" s="24"/>
      <c r="DVD7" s="24"/>
      <c r="DVE7" s="24"/>
      <c r="DVF7" s="24"/>
      <c r="DVG7" s="24"/>
      <c r="DVH7" s="24"/>
      <c r="DVI7" s="24"/>
      <c r="DVJ7" s="24"/>
      <c r="DVK7" s="24"/>
      <c r="DVL7" s="24"/>
      <c r="DVM7" s="24"/>
      <c r="DVN7" s="24"/>
      <c r="DVO7" s="24"/>
      <c r="DVP7" s="24"/>
      <c r="DVQ7" s="24"/>
      <c r="DVR7" s="24"/>
      <c r="DVS7" s="24"/>
      <c r="DVT7" s="24"/>
      <c r="DVU7" s="24"/>
      <c r="DVV7" s="24"/>
      <c r="DVW7" s="24"/>
      <c r="DVX7" s="24"/>
      <c r="DVY7" s="24"/>
      <c r="DVZ7" s="24"/>
      <c r="DWA7" s="24"/>
      <c r="DWB7" s="24"/>
      <c r="DWC7" s="24"/>
      <c r="DWD7" s="24"/>
      <c r="DWE7" s="24"/>
      <c r="DWF7" s="24"/>
      <c r="DWG7" s="24"/>
      <c r="DWH7" s="24"/>
      <c r="DWI7" s="24"/>
      <c r="DWJ7" s="24"/>
      <c r="DWK7" s="24"/>
      <c r="DWL7" s="24"/>
      <c r="DWM7" s="24"/>
      <c r="DWN7" s="24"/>
      <c r="DWO7" s="24"/>
      <c r="DWP7" s="24"/>
      <c r="DWQ7" s="24"/>
      <c r="DWR7" s="24"/>
      <c r="DWS7" s="24"/>
      <c r="DWT7" s="24"/>
      <c r="DWU7" s="24"/>
      <c r="DWV7" s="24"/>
      <c r="DWW7" s="24"/>
      <c r="DWX7" s="24"/>
      <c r="DWY7" s="24"/>
      <c r="DWZ7" s="24"/>
      <c r="DXA7" s="24"/>
      <c r="DXB7" s="24"/>
      <c r="DXC7" s="24"/>
      <c r="DXD7" s="24"/>
      <c r="DXE7" s="24"/>
      <c r="DXF7" s="24"/>
      <c r="DXG7" s="24"/>
      <c r="DXH7" s="24"/>
      <c r="DXI7" s="24"/>
      <c r="DXJ7" s="24"/>
      <c r="DXK7" s="24"/>
      <c r="DXL7" s="24"/>
      <c r="DXM7" s="24"/>
      <c r="DXN7" s="24"/>
      <c r="DXO7" s="24"/>
      <c r="DXP7" s="24"/>
      <c r="DXQ7" s="24"/>
      <c r="DXR7" s="24"/>
      <c r="DXS7" s="24"/>
      <c r="DXT7" s="24"/>
      <c r="DXU7" s="24"/>
      <c r="DXV7" s="24"/>
      <c r="DXW7" s="24"/>
      <c r="DXX7" s="24"/>
      <c r="DXY7" s="24"/>
      <c r="DXZ7" s="24"/>
      <c r="DYA7" s="24"/>
      <c r="DYB7" s="24"/>
      <c r="DYC7" s="24"/>
      <c r="DYD7" s="24"/>
      <c r="DYE7" s="24"/>
      <c r="DYF7" s="24"/>
      <c r="DYG7" s="24"/>
      <c r="DYH7" s="24"/>
      <c r="DYI7" s="24"/>
      <c r="DYJ7" s="24"/>
      <c r="DYK7" s="24"/>
      <c r="DYL7" s="24"/>
      <c r="DYM7" s="24"/>
      <c r="DYN7" s="24"/>
      <c r="DYO7" s="24"/>
      <c r="DYP7" s="24"/>
      <c r="DYQ7" s="24"/>
      <c r="DYR7" s="24"/>
      <c r="DYS7" s="24"/>
      <c r="DYT7" s="24"/>
      <c r="DYU7" s="24"/>
      <c r="DYV7" s="24"/>
      <c r="DYW7" s="24"/>
      <c r="DYX7" s="24"/>
      <c r="DYY7" s="24"/>
      <c r="DYZ7" s="24"/>
      <c r="DZA7" s="24"/>
      <c r="DZB7" s="24"/>
      <c r="DZC7" s="24"/>
      <c r="DZD7" s="24"/>
      <c r="DZE7" s="24"/>
      <c r="DZF7" s="24"/>
      <c r="DZG7" s="24"/>
      <c r="DZH7" s="24"/>
      <c r="DZI7" s="24"/>
      <c r="DZJ7" s="24"/>
      <c r="DZK7" s="24"/>
      <c r="DZL7" s="24"/>
      <c r="DZM7" s="24"/>
      <c r="DZN7" s="24"/>
      <c r="DZO7" s="24"/>
      <c r="DZP7" s="24"/>
      <c r="DZQ7" s="24"/>
      <c r="DZR7" s="24"/>
      <c r="DZS7" s="24"/>
      <c r="DZT7" s="24"/>
      <c r="DZU7" s="24"/>
      <c r="DZV7" s="24"/>
      <c r="DZW7" s="24"/>
      <c r="DZX7" s="24"/>
      <c r="DZY7" s="24"/>
      <c r="DZZ7" s="24"/>
      <c r="EAA7" s="24"/>
      <c r="EAB7" s="24"/>
      <c r="EAC7" s="24"/>
      <c r="EAD7" s="24"/>
      <c r="EAE7" s="24"/>
      <c r="EAF7" s="24"/>
      <c r="EAG7" s="24"/>
      <c r="EAH7" s="24"/>
      <c r="EAI7" s="24"/>
      <c r="EAJ7" s="24"/>
      <c r="EAK7" s="24"/>
      <c r="EAL7" s="24"/>
      <c r="EAM7" s="24"/>
      <c r="EAN7" s="24"/>
      <c r="EAO7" s="24"/>
      <c r="EAP7" s="24"/>
      <c r="EAQ7" s="24"/>
      <c r="EAR7" s="24"/>
      <c r="EAS7" s="24"/>
      <c r="EAT7" s="24"/>
      <c r="EAU7" s="24"/>
      <c r="EAV7" s="24"/>
      <c r="EAW7" s="24"/>
      <c r="EAX7" s="24"/>
      <c r="EAY7" s="24"/>
      <c r="EAZ7" s="24"/>
      <c r="EBA7" s="24"/>
      <c r="EBB7" s="24"/>
      <c r="EBC7" s="24"/>
      <c r="EBD7" s="24"/>
      <c r="EBE7" s="24"/>
      <c r="EBF7" s="24"/>
      <c r="EBG7" s="24"/>
      <c r="EBH7" s="24"/>
      <c r="EBI7" s="24"/>
      <c r="EBJ7" s="24"/>
      <c r="EBK7" s="24"/>
      <c r="EBL7" s="24"/>
      <c r="EBM7" s="24"/>
      <c r="EBN7" s="24"/>
      <c r="EBO7" s="24"/>
      <c r="EBP7" s="24"/>
      <c r="EBQ7" s="24"/>
      <c r="EBR7" s="24"/>
      <c r="EBS7" s="24"/>
      <c r="EBT7" s="24"/>
      <c r="EBU7" s="24"/>
      <c r="EBV7" s="24"/>
      <c r="EBW7" s="24"/>
      <c r="EBX7" s="24"/>
      <c r="EBY7" s="24"/>
      <c r="EBZ7" s="24"/>
      <c r="ECA7" s="24"/>
      <c r="ECB7" s="24"/>
      <c r="ECC7" s="24"/>
      <c r="ECD7" s="24"/>
      <c r="ECE7" s="24"/>
      <c r="ECF7" s="24"/>
      <c r="ECG7" s="24"/>
      <c r="ECH7" s="24"/>
      <c r="ECI7" s="24"/>
      <c r="ECJ7" s="24"/>
      <c r="ECK7" s="24"/>
      <c r="ECL7" s="24"/>
      <c r="ECM7" s="24"/>
      <c r="ECN7" s="24"/>
      <c r="ECO7" s="24"/>
      <c r="ECP7" s="24"/>
      <c r="ECQ7" s="24"/>
      <c r="ECR7" s="24"/>
      <c r="ECS7" s="24"/>
      <c r="ECT7" s="24"/>
      <c r="ECU7" s="24"/>
      <c r="ECV7" s="24"/>
      <c r="ECW7" s="24"/>
      <c r="ECX7" s="24"/>
      <c r="ECY7" s="24"/>
      <c r="ECZ7" s="24"/>
      <c r="EDA7" s="24"/>
      <c r="EDB7" s="24"/>
      <c r="EDC7" s="24"/>
      <c r="EDD7" s="24"/>
      <c r="EDE7" s="24"/>
      <c r="EDF7" s="24"/>
      <c r="EDG7" s="24"/>
      <c r="EDH7" s="24"/>
      <c r="EDI7" s="24"/>
      <c r="EDJ7" s="24"/>
      <c r="EDK7" s="24"/>
      <c r="EDL7" s="24"/>
      <c r="EDM7" s="24"/>
      <c r="EDN7" s="24"/>
      <c r="EDO7" s="24"/>
      <c r="EDP7" s="24"/>
      <c r="EDQ7" s="24"/>
      <c r="EDR7" s="24"/>
      <c r="EDS7" s="24"/>
      <c r="EDT7" s="24"/>
      <c r="EDU7" s="24"/>
      <c r="EDV7" s="24"/>
      <c r="EDW7" s="24"/>
      <c r="EDX7" s="24"/>
      <c r="EDY7" s="24"/>
      <c r="EDZ7" s="24"/>
      <c r="EEA7" s="24"/>
      <c r="EEB7" s="24"/>
      <c r="EEC7" s="24"/>
      <c r="EED7" s="24"/>
      <c r="EEE7" s="24"/>
      <c r="EEF7" s="24"/>
      <c r="EEG7" s="24"/>
      <c r="EEH7" s="24"/>
      <c r="EEI7" s="24"/>
      <c r="EEJ7" s="24"/>
      <c r="EEK7" s="24"/>
      <c r="EEL7" s="24"/>
      <c r="EEM7" s="24"/>
      <c r="EEN7" s="24"/>
      <c r="EEO7" s="24"/>
      <c r="EEP7" s="24"/>
      <c r="EEQ7" s="24"/>
      <c r="EER7" s="24"/>
      <c r="EES7" s="24"/>
      <c r="EET7" s="24"/>
      <c r="EEU7" s="24"/>
      <c r="EEV7" s="24"/>
      <c r="EEW7" s="24"/>
      <c r="EEX7" s="24"/>
      <c r="EEY7" s="24"/>
      <c r="EEZ7" s="24"/>
      <c r="EFA7" s="24"/>
      <c r="EFB7" s="24"/>
      <c r="EFC7" s="24"/>
      <c r="EFD7" s="24"/>
      <c r="EFE7" s="24"/>
      <c r="EFF7" s="24"/>
      <c r="EFG7" s="24"/>
      <c r="EFH7" s="24"/>
      <c r="EFI7" s="24"/>
      <c r="EFJ7" s="24"/>
      <c r="EFK7" s="24"/>
      <c r="EFL7" s="24"/>
      <c r="EFM7" s="24"/>
      <c r="EFN7" s="24"/>
      <c r="EFO7" s="24"/>
      <c r="EFP7" s="24"/>
      <c r="EFQ7" s="24"/>
      <c r="EFR7" s="24"/>
      <c r="EFS7" s="24"/>
      <c r="EFT7" s="24"/>
      <c r="EFU7" s="24"/>
      <c r="EFV7" s="24"/>
      <c r="EFW7" s="24"/>
      <c r="EFX7" s="24"/>
      <c r="EFY7" s="24"/>
      <c r="EFZ7" s="24"/>
      <c r="EGA7" s="24"/>
      <c r="EGB7" s="24"/>
      <c r="EGC7" s="24"/>
      <c r="EGD7" s="24"/>
      <c r="EGE7" s="24"/>
      <c r="EGF7" s="24"/>
      <c r="EGG7" s="24"/>
      <c r="EGH7" s="24"/>
      <c r="EGI7" s="24"/>
      <c r="EGJ7" s="24"/>
      <c r="EGK7" s="24"/>
      <c r="EGL7" s="24"/>
      <c r="EGM7" s="24"/>
      <c r="EGN7" s="24"/>
      <c r="EGO7" s="24"/>
      <c r="EGP7" s="24"/>
      <c r="EGQ7" s="24"/>
      <c r="EGR7" s="24"/>
      <c r="EGS7" s="24"/>
      <c r="EGT7" s="24"/>
      <c r="EGU7" s="24"/>
      <c r="EGV7" s="24"/>
      <c r="EGW7" s="24"/>
      <c r="EGX7" s="24"/>
      <c r="EGY7" s="24"/>
      <c r="EGZ7" s="24"/>
      <c r="EHA7" s="24"/>
      <c r="EHB7" s="24"/>
      <c r="EHC7" s="24"/>
      <c r="EHD7" s="24"/>
      <c r="EHE7" s="24"/>
      <c r="EHF7" s="24"/>
      <c r="EHG7" s="24"/>
      <c r="EHH7" s="24"/>
      <c r="EHI7" s="24"/>
      <c r="EHJ7" s="24"/>
      <c r="EHK7" s="24"/>
      <c r="EHL7" s="24"/>
      <c r="EHM7" s="24"/>
      <c r="EHN7" s="24"/>
      <c r="EHO7" s="24"/>
      <c r="EHP7" s="24"/>
      <c r="EHQ7" s="24"/>
      <c r="EHR7" s="24"/>
      <c r="EHS7" s="24"/>
      <c r="EHT7" s="24"/>
      <c r="EHU7" s="24"/>
      <c r="EHV7" s="24"/>
      <c r="EHW7" s="24"/>
      <c r="EHX7" s="24"/>
      <c r="EHY7" s="24"/>
      <c r="EHZ7" s="24"/>
      <c r="EIA7" s="24"/>
      <c r="EIB7" s="24"/>
      <c r="EIC7" s="24"/>
      <c r="EID7" s="24"/>
      <c r="EIE7" s="24"/>
      <c r="EIF7" s="24"/>
      <c r="EIG7" s="24"/>
      <c r="EIH7" s="24"/>
      <c r="EII7" s="24"/>
      <c r="EIJ7" s="24"/>
      <c r="EIK7" s="24"/>
      <c r="EIL7" s="24"/>
      <c r="EIM7" s="24"/>
      <c r="EIN7" s="24"/>
      <c r="EIO7" s="24"/>
      <c r="EIP7" s="24"/>
      <c r="EIQ7" s="24"/>
      <c r="EIR7" s="24"/>
      <c r="EIS7" s="24"/>
      <c r="EIT7" s="24"/>
      <c r="EIU7" s="24"/>
      <c r="EIV7" s="24"/>
      <c r="EIW7" s="24"/>
      <c r="EIX7" s="24"/>
      <c r="EIY7" s="24"/>
      <c r="EIZ7" s="24"/>
      <c r="EJA7" s="24"/>
      <c r="EJB7" s="24"/>
      <c r="EJC7" s="24"/>
      <c r="EJD7" s="24"/>
      <c r="EJE7" s="24"/>
      <c r="EJF7" s="24"/>
      <c r="EJG7" s="24"/>
      <c r="EJH7" s="24"/>
      <c r="EJI7" s="24"/>
      <c r="EJJ7" s="24"/>
      <c r="EJK7" s="24"/>
      <c r="EJL7" s="24"/>
      <c r="EJM7" s="24"/>
      <c r="EJN7" s="24"/>
      <c r="EJO7" s="24"/>
      <c r="EJP7" s="24"/>
      <c r="EJQ7" s="24"/>
      <c r="EJR7" s="24"/>
      <c r="EJS7" s="24"/>
      <c r="EJT7" s="24"/>
      <c r="EJU7" s="24"/>
      <c r="EJV7" s="24"/>
      <c r="EJW7" s="24"/>
      <c r="EJX7" s="24"/>
      <c r="EJY7" s="24"/>
      <c r="EJZ7" s="24"/>
      <c r="EKA7" s="24"/>
      <c r="EKB7" s="24"/>
      <c r="EKC7" s="24"/>
      <c r="EKD7" s="24"/>
      <c r="EKE7" s="24"/>
      <c r="EKF7" s="24"/>
      <c r="EKG7" s="24"/>
      <c r="EKH7" s="24"/>
      <c r="EKI7" s="24"/>
      <c r="EKJ7" s="24"/>
      <c r="EKK7" s="24"/>
      <c r="EKL7" s="24"/>
      <c r="EKM7" s="24"/>
      <c r="EKN7" s="24"/>
      <c r="EKO7" s="24"/>
      <c r="EKP7" s="24"/>
      <c r="EKQ7" s="24"/>
      <c r="EKR7" s="24"/>
      <c r="EKS7" s="24"/>
      <c r="EKT7" s="24"/>
      <c r="EKU7" s="24"/>
      <c r="EKV7" s="24"/>
      <c r="EKW7" s="24"/>
      <c r="EKX7" s="24"/>
      <c r="EKY7" s="24"/>
      <c r="EKZ7" s="24"/>
      <c r="ELA7" s="24"/>
      <c r="ELB7" s="24"/>
      <c r="ELC7" s="24"/>
      <c r="ELD7" s="24"/>
      <c r="ELE7" s="24"/>
      <c r="ELF7" s="24"/>
      <c r="ELG7" s="24"/>
      <c r="ELH7" s="24"/>
      <c r="ELI7" s="24"/>
      <c r="ELJ7" s="24"/>
      <c r="ELK7" s="24"/>
      <c r="ELL7" s="24"/>
      <c r="ELM7" s="24"/>
      <c r="ELN7" s="24"/>
      <c r="ELO7" s="24"/>
      <c r="ELP7" s="24"/>
      <c r="ELQ7" s="24"/>
      <c r="ELR7" s="24"/>
      <c r="ELS7" s="24"/>
      <c r="ELT7" s="24"/>
      <c r="ELU7" s="24"/>
      <c r="ELV7" s="24"/>
      <c r="ELW7" s="24"/>
      <c r="ELX7" s="24"/>
      <c r="ELY7" s="24"/>
      <c r="ELZ7" s="24"/>
      <c r="EMA7" s="24"/>
      <c r="EMB7" s="24"/>
      <c r="EMC7" s="24"/>
      <c r="EMD7" s="24"/>
      <c r="EME7" s="24"/>
      <c r="EMF7" s="24"/>
      <c r="EMG7" s="24"/>
      <c r="EMH7" s="24"/>
      <c r="EMI7" s="24"/>
      <c r="EMJ7" s="24"/>
      <c r="EMK7" s="24"/>
      <c r="EML7" s="24"/>
      <c r="EMM7" s="24"/>
      <c r="EMN7" s="24"/>
      <c r="EMO7" s="24"/>
      <c r="EMP7" s="24"/>
      <c r="EMQ7" s="24"/>
      <c r="EMR7" s="24"/>
      <c r="EMS7" s="24"/>
      <c r="EMT7" s="24"/>
      <c r="EMU7" s="24"/>
      <c r="EMV7" s="24"/>
      <c r="EMW7" s="24"/>
      <c r="EMX7" s="24"/>
      <c r="EMY7" s="24"/>
      <c r="EMZ7" s="24"/>
      <c r="ENA7" s="24"/>
      <c r="ENB7" s="24"/>
      <c r="ENC7" s="24"/>
      <c r="END7" s="24"/>
      <c r="ENE7" s="24"/>
      <c r="ENF7" s="24"/>
      <c r="ENG7" s="24"/>
      <c r="ENH7" s="24"/>
      <c r="ENI7" s="24"/>
      <c r="ENJ7" s="24"/>
      <c r="ENK7" s="24"/>
      <c r="ENL7" s="24"/>
      <c r="ENM7" s="24"/>
      <c r="ENN7" s="24"/>
      <c r="ENO7" s="24"/>
      <c r="ENP7" s="24"/>
      <c r="ENQ7" s="24"/>
      <c r="ENR7" s="24"/>
      <c r="ENS7" s="24"/>
      <c r="ENT7" s="24"/>
      <c r="ENU7" s="24"/>
      <c r="ENV7" s="24"/>
      <c r="ENW7" s="24"/>
      <c r="ENX7" s="24"/>
      <c r="ENY7" s="24"/>
      <c r="ENZ7" s="24"/>
      <c r="EOA7" s="24"/>
      <c r="EOB7" s="24"/>
      <c r="EOC7" s="24"/>
      <c r="EOD7" s="24"/>
      <c r="EOE7" s="24"/>
      <c r="EOF7" s="24"/>
      <c r="EOG7" s="24"/>
      <c r="EOH7" s="24"/>
      <c r="EOI7" s="24"/>
      <c r="EOJ7" s="24"/>
      <c r="EOK7" s="24"/>
      <c r="EOL7" s="24"/>
      <c r="EOM7" s="24"/>
      <c r="EON7" s="24"/>
      <c r="EOO7" s="24"/>
      <c r="EOP7" s="24"/>
      <c r="EOQ7" s="24"/>
      <c r="EOR7" s="24"/>
      <c r="EOS7" s="24"/>
      <c r="EOT7" s="24"/>
      <c r="EOU7" s="24"/>
      <c r="EOV7" s="24"/>
      <c r="EOW7" s="24"/>
      <c r="EOX7" s="24"/>
      <c r="EOY7" s="24"/>
      <c r="EOZ7" s="24"/>
      <c r="EPA7" s="24"/>
      <c r="EPB7" s="24"/>
      <c r="EPC7" s="24"/>
      <c r="EPD7" s="24"/>
      <c r="EPE7" s="24"/>
      <c r="EPF7" s="24"/>
      <c r="EPG7" s="24"/>
      <c r="EPH7" s="24"/>
      <c r="EPI7" s="24"/>
      <c r="EPJ7" s="24"/>
      <c r="EPK7" s="24"/>
      <c r="EPL7" s="24"/>
      <c r="EPM7" s="24"/>
      <c r="EPN7" s="24"/>
      <c r="EPO7" s="24"/>
      <c r="EPP7" s="24"/>
      <c r="EPQ7" s="24"/>
      <c r="EPR7" s="24"/>
      <c r="EPS7" s="24"/>
      <c r="EPT7" s="24"/>
      <c r="EPU7" s="24"/>
      <c r="EPV7" s="24"/>
      <c r="EPW7" s="24"/>
      <c r="EPX7" s="24"/>
      <c r="EPY7" s="24"/>
      <c r="EPZ7" s="24"/>
      <c r="EQA7" s="24"/>
      <c r="EQB7" s="24"/>
      <c r="EQC7" s="24"/>
      <c r="EQD7" s="24"/>
      <c r="EQE7" s="24"/>
      <c r="EQF7" s="24"/>
      <c r="EQG7" s="24"/>
      <c r="EQH7" s="24"/>
      <c r="EQI7" s="24"/>
      <c r="EQJ7" s="24"/>
      <c r="EQK7" s="24"/>
      <c r="EQL7" s="24"/>
      <c r="EQM7" s="24"/>
      <c r="EQN7" s="24"/>
      <c r="EQO7" s="24"/>
      <c r="EQP7" s="24"/>
      <c r="EQQ7" s="24"/>
      <c r="EQR7" s="24"/>
      <c r="EQS7" s="24"/>
      <c r="EQT7" s="24"/>
      <c r="EQU7" s="24"/>
      <c r="EQV7" s="24"/>
      <c r="EQW7" s="24"/>
      <c r="EQX7" s="24"/>
      <c r="EQY7" s="24"/>
      <c r="EQZ7" s="24"/>
      <c r="ERA7" s="24"/>
      <c r="ERB7" s="24"/>
      <c r="ERC7" s="24"/>
      <c r="ERD7" s="24"/>
      <c r="ERE7" s="24"/>
      <c r="ERF7" s="24"/>
      <c r="ERG7" s="24"/>
      <c r="ERH7" s="24"/>
      <c r="ERI7" s="24"/>
      <c r="ERJ7" s="24"/>
      <c r="ERK7" s="24"/>
      <c r="ERL7" s="24"/>
      <c r="ERM7" s="24"/>
      <c r="ERN7" s="24"/>
      <c r="ERO7" s="24"/>
      <c r="ERP7" s="24"/>
      <c r="ERQ7" s="24"/>
      <c r="ERR7" s="24"/>
      <c r="ERS7" s="24"/>
      <c r="ERT7" s="24"/>
      <c r="ERU7" s="24"/>
      <c r="ERV7" s="24"/>
      <c r="ERW7" s="24"/>
      <c r="ERX7" s="24"/>
      <c r="ERY7" s="24"/>
      <c r="ERZ7" s="24"/>
      <c r="ESA7" s="24"/>
      <c r="ESB7" s="24"/>
      <c r="ESC7" s="24"/>
      <c r="ESD7" s="24"/>
      <c r="ESE7" s="24"/>
      <c r="ESF7" s="24"/>
      <c r="ESG7" s="24"/>
      <c r="ESH7" s="24"/>
      <c r="ESI7" s="24"/>
      <c r="ESJ7" s="24"/>
      <c r="ESK7" s="24"/>
      <c r="ESL7" s="24"/>
      <c r="ESM7" s="24"/>
      <c r="ESN7" s="24"/>
      <c r="ESO7" s="24"/>
      <c r="ESP7" s="24"/>
      <c r="ESQ7" s="24"/>
      <c r="ESR7" s="24"/>
      <c r="ESS7" s="24"/>
      <c r="EST7" s="24"/>
      <c r="ESU7" s="24"/>
      <c r="ESV7" s="24"/>
      <c r="ESW7" s="24"/>
      <c r="ESX7" s="24"/>
      <c r="ESY7" s="24"/>
      <c r="ESZ7" s="24"/>
      <c r="ETA7" s="24"/>
      <c r="ETB7" s="24"/>
      <c r="ETC7" s="24"/>
      <c r="ETD7" s="24"/>
      <c r="ETE7" s="24"/>
      <c r="ETF7" s="24"/>
      <c r="ETG7" s="24"/>
      <c r="ETH7" s="24"/>
      <c r="ETI7" s="24"/>
      <c r="ETJ7" s="24"/>
      <c r="ETK7" s="24"/>
      <c r="ETL7" s="24"/>
      <c r="ETM7" s="24"/>
      <c r="ETN7" s="24"/>
      <c r="ETO7" s="24"/>
      <c r="ETP7" s="24"/>
      <c r="ETQ7" s="24"/>
      <c r="ETR7" s="24"/>
      <c r="ETS7" s="24"/>
      <c r="ETT7" s="24"/>
      <c r="ETU7" s="24"/>
      <c r="ETV7" s="24"/>
      <c r="ETW7" s="24"/>
      <c r="ETX7" s="24"/>
      <c r="ETY7" s="24"/>
      <c r="ETZ7" s="24"/>
      <c r="EUA7" s="24"/>
      <c r="EUB7" s="24"/>
      <c r="EUC7" s="24"/>
      <c r="EUD7" s="24"/>
      <c r="EUE7" s="24"/>
      <c r="EUF7" s="24"/>
      <c r="EUG7" s="24"/>
      <c r="EUH7" s="24"/>
      <c r="EUI7" s="24"/>
      <c r="EUJ7" s="24"/>
      <c r="EUK7" s="24"/>
      <c r="EUL7" s="24"/>
      <c r="EUM7" s="24"/>
      <c r="EUN7" s="24"/>
      <c r="EUO7" s="24"/>
      <c r="EUP7" s="24"/>
      <c r="EUQ7" s="24"/>
      <c r="EUR7" s="24"/>
      <c r="EUS7" s="24"/>
      <c r="EUT7" s="24"/>
      <c r="EUU7" s="24"/>
      <c r="EUV7" s="24"/>
      <c r="EUW7" s="24"/>
      <c r="EUX7" s="24"/>
      <c r="EUY7" s="24"/>
      <c r="EUZ7" s="24"/>
      <c r="EVA7" s="24"/>
      <c r="EVB7" s="24"/>
      <c r="EVC7" s="24"/>
      <c r="EVD7" s="24"/>
      <c r="EVE7" s="24"/>
      <c r="EVF7" s="24"/>
      <c r="EVG7" s="24"/>
      <c r="EVH7" s="24"/>
      <c r="EVI7" s="24"/>
      <c r="EVJ7" s="24"/>
      <c r="EVK7" s="24"/>
      <c r="EVL7" s="24"/>
      <c r="EVM7" s="24"/>
      <c r="EVN7" s="24"/>
      <c r="EVO7" s="24"/>
      <c r="EVP7" s="24"/>
      <c r="EVQ7" s="24"/>
      <c r="EVR7" s="24"/>
      <c r="EVS7" s="24"/>
      <c r="EVT7" s="24"/>
      <c r="EVU7" s="24"/>
      <c r="EVV7" s="24"/>
      <c r="EVW7" s="24"/>
      <c r="EVX7" s="24"/>
      <c r="EVY7" s="24"/>
      <c r="EVZ7" s="24"/>
      <c r="EWA7" s="24"/>
      <c r="EWB7" s="24"/>
      <c r="EWC7" s="24"/>
      <c r="EWD7" s="24"/>
      <c r="EWE7" s="24"/>
      <c r="EWF7" s="24"/>
      <c r="EWG7" s="24"/>
      <c r="EWH7" s="24"/>
      <c r="EWI7" s="24"/>
      <c r="EWJ7" s="24"/>
      <c r="EWK7" s="24"/>
      <c r="EWL7" s="24"/>
      <c r="EWM7" s="24"/>
      <c r="EWN7" s="24"/>
      <c r="EWO7" s="24"/>
      <c r="EWP7" s="24"/>
      <c r="EWQ7" s="24"/>
      <c r="EWR7" s="24"/>
      <c r="EWS7" s="24"/>
      <c r="EWT7" s="24"/>
      <c r="EWU7" s="24"/>
      <c r="EWV7" s="24"/>
      <c r="EWW7" s="24"/>
      <c r="EWX7" s="24"/>
      <c r="EWY7" s="24"/>
      <c r="EWZ7" s="24"/>
      <c r="EXA7" s="24"/>
      <c r="EXB7" s="24"/>
      <c r="EXC7" s="24"/>
      <c r="EXD7" s="24"/>
      <c r="EXE7" s="24"/>
      <c r="EXF7" s="24"/>
      <c r="EXG7" s="24"/>
      <c r="EXH7" s="24"/>
      <c r="EXI7" s="24"/>
      <c r="EXJ7" s="24"/>
      <c r="EXK7" s="24"/>
      <c r="EXL7" s="24"/>
      <c r="EXM7" s="24"/>
      <c r="EXN7" s="24"/>
      <c r="EXO7" s="24"/>
      <c r="EXP7" s="24"/>
      <c r="EXQ7" s="24"/>
      <c r="EXR7" s="24"/>
      <c r="EXS7" s="24"/>
      <c r="EXT7" s="24"/>
      <c r="EXU7" s="24"/>
      <c r="EXV7" s="24"/>
      <c r="EXW7" s="24"/>
      <c r="EXX7" s="24"/>
      <c r="EXY7" s="24"/>
      <c r="EXZ7" s="24"/>
      <c r="EYA7" s="24"/>
      <c r="EYB7" s="24"/>
      <c r="EYC7" s="24"/>
      <c r="EYD7" s="24"/>
      <c r="EYE7" s="24"/>
      <c r="EYF7" s="24"/>
      <c r="EYG7" s="24"/>
      <c r="EYH7" s="24"/>
      <c r="EYI7" s="24"/>
      <c r="EYJ7" s="24"/>
      <c r="EYK7" s="24"/>
      <c r="EYL7" s="24"/>
      <c r="EYM7" s="24"/>
      <c r="EYN7" s="24"/>
      <c r="EYO7" s="24"/>
      <c r="EYP7" s="24"/>
      <c r="EYQ7" s="24"/>
      <c r="EYR7" s="24"/>
      <c r="EYS7" s="24"/>
      <c r="EYT7" s="24"/>
      <c r="EYU7" s="24"/>
      <c r="EYV7" s="24"/>
      <c r="EYW7" s="24"/>
      <c r="EYX7" s="24"/>
      <c r="EYY7" s="24"/>
      <c r="EYZ7" s="24"/>
      <c r="EZA7" s="24"/>
      <c r="EZB7" s="24"/>
      <c r="EZC7" s="24"/>
      <c r="EZD7" s="24"/>
      <c r="EZE7" s="24"/>
      <c r="EZF7" s="24"/>
      <c r="EZG7" s="24"/>
      <c r="EZH7" s="24"/>
      <c r="EZI7" s="24"/>
      <c r="EZJ7" s="24"/>
      <c r="EZK7" s="24"/>
      <c r="EZL7" s="24"/>
      <c r="EZM7" s="24"/>
      <c r="EZN7" s="24"/>
      <c r="EZO7" s="24"/>
      <c r="EZP7" s="24"/>
      <c r="EZQ7" s="24"/>
      <c r="EZR7" s="24"/>
      <c r="EZS7" s="24"/>
      <c r="EZT7" s="24"/>
      <c r="EZU7" s="24"/>
      <c r="EZV7" s="24"/>
      <c r="EZW7" s="24"/>
      <c r="EZX7" s="24"/>
      <c r="EZY7" s="24"/>
      <c r="EZZ7" s="24"/>
      <c r="FAA7" s="24"/>
      <c r="FAB7" s="24"/>
      <c r="FAC7" s="24"/>
      <c r="FAD7" s="24"/>
      <c r="FAE7" s="24"/>
      <c r="FAF7" s="24"/>
      <c r="FAG7" s="24"/>
      <c r="FAH7" s="24"/>
      <c r="FAI7" s="24"/>
      <c r="FAJ7" s="24"/>
      <c r="FAK7" s="24"/>
      <c r="FAL7" s="24"/>
      <c r="FAM7" s="24"/>
      <c r="FAN7" s="24"/>
      <c r="FAO7" s="24"/>
      <c r="FAP7" s="24"/>
      <c r="FAQ7" s="24"/>
      <c r="FAR7" s="24"/>
      <c r="FAS7" s="24"/>
      <c r="FAT7" s="24"/>
      <c r="FAU7" s="24"/>
      <c r="FAV7" s="24"/>
      <c r="FAW7" s="24"/>
      <c r="FAX7" s="24"/>
      <c r="FAY7" s="24"/>
      <c r="FAZ7" s="24"/>
      <c r="FBA7" s="24"/>
      <c r="FBB7" s="24"/>
      <c r="FBC7" s="24"/>
      <c r="FBD7" s="24"/>
      <c r="FBE7" s="24"/>
      <c r="FBF7" s="24"/>
      <c r="FBG7" s="24"/>
      <c r="FBH7" s="24"/>
      <c r="FBI7" s="24"/>
      <c r="FBJ7" s="24"/>
      <c r="FBK7" s="24"/>
      <c r="FBL7" s="24"/>
      <c r="FBM7" s="24"/>
      <c r="FBN7" s="24"/>
      <c r="FBO7" s="24"/>
      <c r="FBP7" s="24"/>
      <c r="FBQ7" s="24"/>
      <c r="FBR7" s="24"/>
      <c r="FBS7" s="24"/>
      <c r="FBT7" s="24"/>
      <c r="FBU7" s="24"/>
      <c r="FBV7" s="24"/>
      <c r="FBW7" s="24"/>
      <c r="FBX7" s="24"/>
      <c r="FBY7" s="24"/>
      <c r="FBZ7" s="24"/>
      <c r="FCA7" s="24"/>
      <c r="FCB7" s="24"/>
      <c r="FCC7" s="24"/>
      <c r="FCD7" s="24"/>
      <c r="FCE7" s="24"/>
      <c r="FCF7" s="24"/>
      <c r="FCG7" s="24"/>
      <c r="FCH7" s="24"/>
      <c r="FCI7" s="24"/>
      <c r="FCJ7" s="24"/>
      <c r="FCK7" s="24"/>
      <c r="FCL7" s="24"/>
      <c r="FCM7" s="24"/>
      <c r="FCN7" s="24"/>
      <c r="FCO7" s="24"/>
      <c r="FCP7" s="24"/>
      <c r="FCQ7" s="24"/>
      <c r="FCR7" s="24"/>
      <c r="FCS7" s="24"/>
      <c r="FCT7" s="24"/>
      <c r="FCU7" s="24"/>
      <c r="FCV7" s="24"/>
      <c r="FCW7" s="24"/>
      <c r="FCX7" s="24"/>
      <c r="FCY7" s="24"/>
      <c r="FCZ7" s="24"/>
      <c r="FDA7" s="24"/>
      <c r="FDB7" s="24"/>
      <c r="FDC7" s="24"/>
      <c r="FDD7" s="24"/>
      <c r="FDE7" s="24"/>
      <c r="FDF7" s="24"/>
      <c r="FDG7" s="24"/>
      <c r="FDH7" s="24"/>
      <c r="FDI7" s="24"/>
      <c r="FDJ7" s="24"/>
      <c r="FDK7" s="24"/>
      <c r="FDL7" s="24"/>
      <c r="FDM7" s="24"/>
      <c r="FDN7" s="24"/>
      <c r="FDO7" s="24"/>
      <c r="FDP7" s="24"/>
      <c r="FDQ7" s="24"/>
      <c r="FDR7" s="24"/>
      <c r="FDS7" s="24"/>
      <c r="FDT7" s="24"/>
      <c r="FDU7" s="24"/>
      <c r="FDV7" s="24"/>
      <c r="FDW7" s="24"/>
      <c r="FDX7" s="24"/>
      <c r="FDY7" s="24"/>
      <c r="FDZ7" s="24"/>
      <c r="FEA7" s="24"/>
      <c r="FEB7" s="24"/>
      <c r="FEC7" s="24"/>
      <c r="FED7" s="24"/>
      <c r="FEE7" s="24"/>
      <c r="FEF7" s="24"/>
      <c r="FEG7" s="24"/>
      <c r="FEH7" s="24"/>
      <c r="FEI7" s="24"/>
      <c r="FEJ7" s="24"/>
      <c r="FEK7" s="24"/>
      <c r="FEL7" s="24"/>
      <c r="FEM7" s="24"/>
      <c r="FEN7" s="24"/>
      <c r="FEO7" s="24"/>
      <c r="FEP7" s="24"/>
      <c r="FEQ7" s="24"/>
      <c r="FER7" s="24"/>
      <c r="FES7" s="24"/>
      <c r="FET7" s="24"/>
      <c r="FEU7" s="24"/>
      <c r="FEV7" s="24"/>
      <c r="FEW7" s="24"/>
      <c r="FEX7" s="24"/>
      <c r="FEY7" s="24"/>
      <c r="FEZ7" s="24"/>
      <c r="FFA7" s="24"/>
      <c r="FFB7" s="24"/>
      <c r="FFC7" s="24"/>
      <c r="FFD7" s="24"/>
      <c r="FFE7" s="24"/>
      <c r="FFF7" s="24"/>
      <c r="FFG7" s="24"/>
      <c r="FFH7" s="24"/>
      <c r="FFI7" s="24"/>
      <c r="FFJ7" s="24"/>
      <c r="FFK7" s="24"/>
      <c r="FFL7" s="24"/>
      <c r="FFM7" s="24"/>
      <c r="FFN7" s="24"/>
      <c r="FFO7" s="24"/>
      <c r="FFP7" s="24"/>
      <c r="FFQ7" s="24"/>
      <c r="FFR7" s="24"/>
      <c r="FFS7" s="24"/>
      <c r="FFT7" s="24"/>
      <c r="FFU7" s="24"/>
      <c r="FFV7" s="24"/>
      <c r="FFW7" s="24"/>
      <c r="FFX7" s="24"/>
      <c r="FFY7" s="24"/>
      <c r="FFZ7" s="24"/>
      <c r="FGA7" s="24"/>
      <c r="FGB7" s="24"/>
      <c r="FGC7" s="24"/>
      <c r="FGD7" s="24"/>
      <c r="FGE7" s="24"/>
      <c r="FGF7" s="24"/>
      <c r="FGG7" s="24"/>
      <c r="FGH7" s="24"/>
      <c r="FGI7" s="24"/>
      <c r="FGJ7" s="24"/>
      <c r="FGK7" s="24"/>
      <c r="FGL7" s="24"/>
      <c r="FGM7" s="24"/>
      <c r="FGN7" s="24"/>
      <c r="FGO7" s="24"/>
      <c r="FGP7" s="24"/>
      <c r="FGQ7" s="24"/>
      <c r="FGR7" s="24"/>
      <c r="FGS7" s="24"/>
      <c r="FGT7" s="24"/>
      <c r="FGU7" s="24"/>
      <c r="FGV7" s="24"/>
      <c r="FGW7" s="24"/>
      <c r="FGX7" s="24"/>
      <c r="FGY7" s="24"/>
      <c r="FGZ7" s="24"/>
      <c r="FHA7" s="24"/>
      <c r="FHB7" s="24"/>
      <c r="FHC7" s="24"/>
      <c r="FHD7" s="24"/>
      <c r="FHE7" s="24"/>
      <c r="FHF7" s="24"/>
      <c r="FHG7" s="24"/>
      <c r="FHH7" s="24"/>
      <c r="FHI7" s="24"/>
      <c r="FHJ7" s="24"/>
      <c r="FHK7" s="24"/>
      <c r="FHL7" s="24"/>
      <c r="FHM7" s="24"/>
      <c r="FHN7" s="24"/>
      <c r="FHO7" s="24"/>
      <c r="FHP7" s="24"/>
      <c r="FHQ7" s="24"/>
      <c r="FHR7" s="24"/>
      <c r="FHS7" s="24"/>
      <c r="FHT7" s="24"/>
      <c r="FHU7" s="24"/>
      <c r="FHV7" s="24"/>
      <c r="FHW7" s="24"/>
      <c r="FHX7" s="24"/>
      <c r="FHY7" s="24"/>
      <c r="FHZ7" s="24"/>
      <c r="FIA7" s="24"/>
      <c r="FIB7" s="24"/>
      <c r="FIC7" s="24"/>
      <c r="FID7" s="24"/>
      <c r="FIE7" s="24"/>
      <c r="FIF7" s="24"/>
      <c r="FIG7" s="24"/>
      <c r="FIH7" s="24"/>
      <c r="FII7" s="24"/>
      <c r="FIJ7" s="24"/>
      <c r="FIK7" s="24"/>
      <c r="FIL7" s="24"/>
      <c r="FIM7" s="24"/>
      <c r="FIN7" s="24"/>
      <c r="FIO7" s="24"/>
      <c r="FIP7" s="24"/>
      <c r="FIQ7" s="24"/>
      <c r="FIR7" s="24"/>
      <c r="FIS7" s="24"/>
      <c r="FIT7" s="24"/>
      <c r="FIU7" s="24"/>
      <c r="FIV7" s="24"/>
      <c r="FIW7" s="24"/>
      <c r="FIX7" s="24"/>
      <c r="FIY7" s="24"/>
      <c r="FIZ7" s="24"/>
      <c r="FJA7" s="24"/>
      <c r="FJB7" s="24"/>
      <c r="FJC7" s="24"/>
      <c r="FJD7" s="24"/>
      <c r="FJE7" s="24"/>
      <c r="FJF7" s="24"/>
      <c r="FJG7" s="24"/>
      <c r="FJH7" s="24"/>
      <c r="FJI7" s="24"/>
      <c r="FJJ7" s="24"/>
      <c r="FJK7" s="24"/>
      <c r="FJL7" s="24"/>
      <c r="FJM7" s="24"/>
      <c r="FJN7" s="24"/>
      <c r="FJO7" s="24"/>
      <c r="FJP7" s="24"/>
      <c r="FJQ7" s="24"/>
      <c r="FJR7" s="24"/>
      <c r="FJS7" s="24"/>
      <c r="FJT7" s="24"/>
      <c r="FJU7" s="24"/>
      <c r="FJV7" s="24"/>
      <c r="FJW7" s="24"/>
      <c r="FJX7" s="24"/>
      <c r="FJY7" s="24"/>
      <c r="FJZ7" s="24"/>
      <c r="FKA7" s="24"/>
      <c r="FKB7" s="24"/>
      <c r="FKC7" s="24"/>
      <c r="FKD7" s="24"/>
      <c r="FKE7" s="24"/>
      <c r="FKF7" s="24"/>
      <c r="FKG7" s="24"/>
      <c r="FKH7" s="24"/>
      <c r="FKI7" s="24"/>
      <c r="FKJ7" s="24"/>
      <c r="FKK7" s="24"/>
      <c r="FKL7" s="24"/>
      <c r="FKM7" s="24"/>
      <c r="FKN7" s="24"/>
      <c r="FKO7" s="24"/>
      <c r="FKP7" s="24"/>
      <c r="FKQ7" s="24"/>
      <c r="FKR7" s="24"/>
      <c r="FKS7" s="24"/>
      <c r="FKT7" s="24"/>
      <c r="FKU7" s="24"/>
      <c r="FKV7" s="24"/>
      <c r="FKW7" s="24"/>
      <c r="FKX7" s="24"/>
      <c r="FKY7" s="24"/>
      <c r="FKZ7" s="24"/>
      <c r="FLA7" s="24"/>
      <c r="FLB7" s="24"/>
      <c r="FLC7" s="24"/>
      <c r="FLD7" s="24"/>
      <c r="FLE7" s="24"/>
      <c r="FLF7" s="24"/>
      <c r="FLG7" s="24"/>
      <c r="FLH7" s="24"/>
      <c r="FLI7" s="24"/>
      <c r="FLJ7" s="24"/>
      <c r="FLK7" s="24"/>
      <c r="FLL7" s="24"/>
      <c r="FLM7" s="24"/>
      <c r="FLN7" s="24"/>
      <c r="FLO7" s="24"/>
      <c r="FLP7" s="24"/>
      <c r="FLQ7" s="24"/>
      <c r="FLR7" s="24"/>
      <c r="FLS7" s="24"/>
      <c r="FLT7" s="24"/>
      <c r="FLU7" s="24"/>
      <c r="FLV7" s="24"/>
      <c r="FLW7" s="24"/>
      <c r="FLX7" s="24"/>
      <c r="FLY7" s="24"/>
      <c r="FLZ7" s="24"/>
      <c r="FMA7" s="24"/>
      <c r="FMB7" s="24"/>
      <c r="FMC7" s="24"/>
      <c r="FMD7" s="24"/>
      <c r="FME7" s="24"/>
      <c r="FMF7" s="24"/>
      <c r="FMG7" s="24"/>
      <c r="FMH7" s="24"/>
      <c r="FMI7" s="24"/>
      <c r="FMJ7" s="24"/>
      <c r="FMK7" s="24"/>
      <c r="FML7" s="24"/>
      <c r="FMM7" s="24"/>
      <c r="FMN7" s="24"/>
      <c r="FMO7" s="24"/>
      <c r="FMP7" s="24"/>
      <c r="FMQ7" s="24"/>
      <c r="FMR7" s="24"/>
      <c r="FMS7" s="24"/>
      <c r="FMT7" s="24"/>
      <c r="FMU7" s="24"/>
      <c r="FMV7" s="24"/>
      <c r="FMW7" s="24"/>
      <c r="FMX7" s="24"/>
      <c r="FMY7" s="24"/>
      <c r="FMZ7" s="24"/>
      <c r="FNA7" s="24"/>
      <c r="FNB7" s="24"/>
      <c r="FNC7" s="24"/>
      <c r="FND7" s="24"/>
      <c r="FNE7" s="24"/>
      <c r="FNF7" s="24"/>
      <c r="FNG7" s="24"/>
      <c r="FNH7" s="24"/>
      <c r="FNI7" s="24"/>
      <c r="FNJ7" s="24"/>
      <c r="FNK7" s="24"/>
      <c r="FNL7" s="24"/>
      <c r="FNM7" s="24"/>
      <c r="FNN7" s="24"/>
      <c r="FNO7" s="24"/>
      <c r="FNP7" s="24"/>
      <c r="FNQ7" s="24"/>
      <c r="FNR7" s="24"/>
      <c r="FNS7" s="24"/>
      <c r="FNT7" s="24"/>
      <c r="FNU7" s="24"/>
      <c r="FNV7" s="24"/>
      <c r="FNW7" s="24"/>
      <c r="FNX7" s="24"/>
      <c r="FNY7" s="24"/>
      <c r="FNZ7" s="24"/>
      <c r="FOA7" s="24"/>
      <c r="FOB7" s="24"/>
      <c r="FOC7" s="24"/>
      <c r="FOD7" s="24"/>
      <c r="FOE7" s="24"/>
      <c r="FOF7" s="24"/>
      <c r="FOG7" s="24"/>
      <c r="FOH7" s="24"/>
      <c r="FOI7" s="24"/>
      <c r="FOJ7" s="24"/>
      <c r="FOK7" s="24"/>
      <c r="FOL7" s="24"/>
      <c r="FOM7" s="24"/>
      <c r="FON7" s="24"/>
      <c r="FOO7" s="24"/>
      <c r="FOP7" s="24"/>
      <c r="FOQ7" s="24"/>
      <c r="FOR7" s="24"/>
      <c r="FOS7" s="24"/>
      <c r="FOT7" s="24"/>
      <c r="FOU7" s="24"/>
      <c r="FOV7" s="24"/>
      <c r="FOW7" s="24"/>
      <c r="FOX7" s="24"/>
      <c r="FOY7" s="24"/>
      <c r="FOZ7" s="24"/>
      <c r="FPA7" s="24"/>
      <c r="FPB7" s="24"/>
      <c r="FPC7" s="24"/>
      <c r="FPD7" s="24"/>
      <c r="FPE7" s="24"/>
      <c r="FPF7" s="24"/>
      <c r="FPG7" s="24"/>
      <c r="FPH7" s="24"/>
      <c r="FPI7" s="24"/>
      <c r="FPJ7" s="24"/>
      <c r="FPK7" s="24"/>
      <c r="FPL7" s="24"/>
      <c r="FPM7" s="24"/>
      <c r="FPN7" s="24"/>
      <c r="FPO7" s="24"/>
      <c r="FPP7" s="24"/>
      <c r="FPQ7" s="24"/>
      <c r="FPR7" s="24"/>
      <c r="FPS7" s="24"/>
      <c r="FPT7" s="24"/>
      <c r="FPU7" s="24"/>
      <c r="FPV7" s="24"/>
      <c r="FPW7" s="24"/>
      <c r="FPX7" s="24"/>
      <c r="FPY7" s="24"/>
      <c r="FPZ7" s="24"/>
      <c r="FQA7" s="24"/>
      <c r="FQB7" s="24"/>
      <c r="FQC7" s="24"/>
      <c r="FQD7" s="24"/>
      <c r="FQE7" s="24"/>
      <c r="FQF7" s="24"/>
      <c r="FQG7" s="24"/>
      <c r="FQH7" s="24"/>
      <c r="FQI7" s="24"/>
      <c r="FQJ7" s="24"/>
      <c r="FQK7" s="24"/>
      <c r="FQL7" s="24"/>
      <c r="FQM7" s="24"/>
      <c r="FQN7" s="24"/>
      <c r="FQO7" s="24"/>
      <c r="FQP7" s="24"/>
      <c r="FQQ7" s="24"/>
      <c r="FQR7" s="24"/>
      <c r="FQS7" s="24"/>
      <c r="FQT7" s="24"/>
      <c r="FQU7" s="24"/>
      <c r="FQV7" s="24"/>
      <c r="FQW7" s="24"/>
      <c r="FQX7" s="24"/>
      <c r="FQY7" s="24"/>
      <c r="FQZ7" s="24"/>
      <c r="FRA7" s="24"/>
      <c r="FRB7" s="24"/>
      <c r="FRC7" s="24"/>
      <c r="FRD7" s="24"/>
      <c r="FRE7" s="24"/>
      <c r="FRF7" s="24"/>
      <c r="FRG7" s="24"/>
      <c r="FRH7" s="24"/>
      <c r="FRI7" s="24"/>
      <c r="FRJ7" s="24"/>
      <c r="FRK7" s="24"/>
      <c r="FRL7" s="24"/>
      <c r="FRM7" s="24"/>
      <c r="FRN7" s="24"/>
      <c r="FRO7" s="24"/>
      <c r="FRP7" s="24"/>
      <c r="FRQ7" s="24"/>
      <c r="FRR7" s="24"/>
      <c r="FRS7" s="24"/>
      <c r="FRT7" s="24"/>
      <c r="FRU7" s="24"/>
      <c r="FRV7" s="24"/>
      <c r="FRW7" s="24"/>
      <c r="FRX7" s="24"/>
      <c r="FRY7" s="24"/>
      <c r="FRZ7" s="24"/>
      <c r="FSA7" s="24"/>
      <c r="FSB7" s="24"/>
      <c r="FSC7" s="24"/>
      <c r="FSD7" s="24"/>
      <c r="FSE7" s="24"/>
      <c r="FSF7" s="24"/>
      <c r="FSG7" s="24"/>
      <c r="FSH7" s="24"/>
      <c r="FSI7" s="24"/>
      <c r="FSJ7" s="24"/>
      <c r="FSK7" s="24"/>
      <c r="FSL7" s="24"/>
      <c r="FSM7" s="24"/>
      <c r="FSN7" s="24"/>
      <c r="FSO7" s="24"/>
      <c r="FSP7" s="24"/>
      <c r="FSQ7" s="24"/>
      <c r="FSR7" s="24"/>
      <c r="FSS7" s="24"/>
      <c r="FST7" s="24"/>
      <c r="FSU7" s="24"/>
      <c r="FSV7" s="24"/>
      <c r="FSW7" s="24"/>
      <c r="FSX7" s="24"/>
      <c r="FSY7" s="24"/>
      <c r="FSZ7" s="24"/>
      <c r="FTA7" s="24"/>
      <c r="FTB7" s="24"/>
      <c r="FTC7" s="24"/>
      <c r="FTD7" s="24"/>
      <c r="FTE7" s="24"/>
      <c r="FTF7" s="24"/>
      <c r="FTG7" s="24"/>
      <c r="FTH7" s="24"/>
      <c r="FTI7" s="24"/>
      <c r="FTJ7" s="24"/>
      <c r="FTK7" s="24"/>
      <c r="FTL7" s="24"/>
      <c r="FTM7" s="24"/>
      <c r="FTN7" s="24"/>
      <c r="FTO7" s="24"/>
      <c r="FTP7" s="24"/>
      <c r="FTQ7" s="24"/>
      <c r="FTR7" s="24"/>
      <c r="FTS7" s="24"/>
      <c r="FTT7" s="24"/>
      <c r="FTU7" s="24"/>
      <c r="FTV7" s="24"/>
      <c r="FTW7" s="24"/>
      <c r="FTX7" s="24"/>
      <c r="FTY7" s="24"/>
      <c r="FTZ7" s="24"/>
      <c r="FUA7" s="24"/>
      <c r="FUB7" s="24"/>
      <c r="FUC7" s="24"/>
      <c r="FUD7" s="24"/>
      <c r="FUE7" s="24"/>
      <c r="FUF7" s="24"/>
      <c r="FUG7" s="24"/>
      <c r="FUH7" s="24"/>
      <c r="FUI7" s="24"/>
      <c r="FUJ7" s="24"/>
      <c r="FUK7" s="24"/>
      <c r="FUL7" s="24"/>
      <c r="FUM7" s="24"/>
      <c r="FUN7" s="24"/>
      <c r="FUO7" s="24"/>
      <c r="FUP7" s="24"/>
      <c r="FUQ7" s="24"/>
      <c r="FUR7" s="24"/>
      <c r="FUS7" s="24"/>
      <c r="FUT7" s="24"/>
      <c r="FUU7" s="24"/>
      <c r="FUV7" s="24"/>
      <c r="FUW7" s="24"/>
      <c r="FUX7" s="24"/>
      <c r="FUY7" s="24"/>
      <c r="FUZ7" s="24"/>
      <c r="FVA7" s="24"/>
      <c r="FVB7" s="24"/>
      <c r="FVC7" s="24"/>
      <c r="FVD7" s="24"/>
      <c r="FVE7" s="24"/>
      <c r="FVF7" s="24"/>
      <c r="FVG7" s="24"/>
      <c r="FVH7" s="24"/>
      <c r="FVI7" s="24"/>
      <c r="FVJ7" s="24"/>
      <c r="FVK7" s="24"/>
      <c r="FVL7" s="24"/>
      <c r="FVM7" s="24"/>
      <c r="FVN7" s="24"/>
      <c r="FVO7" s="24"/>
      <c r="FVP7" s="24"/>
      <c r="FVQ7" s="24"/>
      <c r="FVR7" s="24"/>
      <c r="FVS7" s="24"/>
      <c r="FVT7" s="24"/>
      <c r="FVU7" s="24"/>
      <c r="FVV7" s="24"/>
      <c r="FVW7" s="24"/>
      <c r="FVX7" s="24"/>
      <c r="FVY7" s="24"/>
      <c r="FVZ7" s="24"/>
      <c r="FWA7" s="24"/>
      <c r="FWB7" s="24"/>
      <c r="FWC7" s="24"/>
      <c r="FWD7" s="24"/>
      <c r="FWE7" s="24"/>
      <c r="FWF7" s="24"/>
      <c r="FWG7" s="24"/>
      <c r="FWH7" s="24"/>
      <c r="FWI7" s="24"/>
      <c r="FWJ7" s="24"/>
      <c r="FWK7" s="24"/>
      <c r="FWL7" s="24"/>
      <c r="FWM7" s="24"/>
      <c r="FWN7" s="24"/>
      <c r="FWO7" s="24"/>
      <c r="FWP7" s="24"/>
      <c r="FWQ7" s="24"/>
      <c r="FWR7" s="24"/>
      <c r="FWS7" s="24"/>
      <c r="FWT7" s="24"/>
      <c r="FWU7" s="24"/>
      <c r="FWV7" s="24"/>
      <c r="FWW7" s="24"/>
      <c r="FWX7" s="24"/>
      <c r="FWY7" s="24"/>
      <c r="FWZ7" s="24"/>
      <c r="FXA7" s="24"/>
      <c r="FXB7" s="24"/>
      <c r="FXC7" s="24"/>
      <c r="FXD7" s="24"/>
      <c r="FXE7" s="24"/>
      <c r="FXF7" s="24"/>
      <c r="FXG7" s="24"/>
      <c r="FXH7" s="24"/>
      <c r="FXI7" s="24"/>
      <c r="FXJ7" s="24"/>
      <c r="FXK7" s="24"/>
      <c r="FXL7" s="24"/>
      <c r="FXM7" s="24"/>
      <c r="FXN7" s="24"/>
      <c r="FXO7" s="24"/>
      <c r="FXP7" s="24"/>
      <c r="FXQ7" s="24"/>
      <c r="FXR7" s="24"/>
      <c r="FXS7" s="24"/>
      <c r="FXT7" s="24"/>
      <c r="FXU7" s="24"/>
      <c r="FXV7" s="24"/>
      <c r="FXW7" s="24"/>
      <c r="FXX7" s="24"/>
      <c r="FXY7" s="24"/>
      <c r="FXZ7" s="24"/>
      <c r="FYA7" s="24"/>
      <c r="FYB7" s="24"/>
      <c r="FYC7" s="24"/>
      <c r="FYD7" s="24"/>
      <c r="FYE7" s="24"/>
      <c r="FYF7" s="24"/>
      <c r="FYG7" s="24"/>
      <c r="FYH7" s="24"/>
      <c r="FYI7" s="24"/>
      <c r="FYJ7" s="24"/>
      <c r="FYK7" s="24"/>
      <c r="FYL7" s="24"/>
      <c r="FYM7" s="24"/>
      <c r="FYN7" s="24"/>
      <c r="FYO7" s="24"/>
      <c r="FYP7" s="24"/>
      <c r="FYQ7" s="24"/>
      <c r="FYR7" s="24"/>
      <c r="FYS7" s="24"/>
      <c r="FYT7" s="24"/>
      <c r="FYU7" s="24"/>
      <c r="FYV7" s="24"/>
      <c r="FYW7" s="24"/>
      <c r="FYX7" s="24"/>
      <c r="FYY7" s="24"/>
      <c r="FYZ7" s="24"/>
      <c r="FZA7" s="24"/>
      <c r="FZB7" s="24"/>
      <c r="FZC7" s="24"/>
      <c r="FZD7" s="24"/>
      <c r="FZE7" s="24"/>
      <c r="FZF7" s="24"/>
      <c r="FZG7" s="24"/>
      <c r="FZH7" s="24"/>
      <c r="FZI7" s="24"/>
      <c r="FZJ7" s="24"/>
      <c r="FZK7" s="24"/>
      <c r="FZL7" s="24"/>
      <c r="FZM7" s="24"/>
      <c r="FZN7" s="24"/>
      <c r="FZO7" s="24"/>
      <c r="FZP7" s="24"/>
      <c r="FZQ7" s="24"/>
      <c r="FZR7" s="24"/>
      <c r="FZS7" s="24"/>
      <c r="FZT7" s="24"/>
      <c r="FZU7" s="24"/>
      <c r="FZV7" s="24"/>
      <c r="FZW7" s="24"/>
      <c r="FZX7" s="24"/>
      <c r="FZY7" s="24"/>
      <c r="FZZ7" s="24"/>
      <c r="GAA7" s="24"/>
      <c r="GAB7" s="24"/>
      <c r="GAC7" s="24"/>
      <c r="GAD7" s="24"/>
      <c r="GAE7" s="24"/>
      <c r="GAF7" s="24"/>
      <c r="GAG7" s="24"/>
      <c r="GAH7" s="24"/>
      <c r="GAI7" s="24"/>
      <c r="GAJ7" s="24"/>
      <c r="GAK7" s="24"/>
      <c r="GAL7" s="24"/>
      <c r="GAM7" s="24"/>
      <c r="GAN7" s="24"/>
      <c r="GAO7" s="24"/>
      <c r="GAP7" s="24"/>
      <c r="GAQ7" s="24"/>
      <c r="GAR7" s="24"/>
      <c r="GAS7" s="24"/>
      <c r="GAT7" s="24"/>
      <c r="GAU7" s="24"/>
      <c r="GAV7" s="24"/>
      <c r="GAW7" s="24"/>
      <c r="GAX7" s="24"/>
      <c r="GAY7" s="24"/>
      <c r="GAZ7" s="24"/>
      <c r="GBA7" s="24"/>
      <c r="GBB7" s="24"/>
      <c r="GBC7" s="24"/>
      <c r="GBD7" s="24"/>
      <c r="GBE7" s="24"/>
      <c r="GBF7" s="24"/>
      <c r="GBG7" s="24"/>
      <c r="GBH7" s="24"/>
      <c r="GBI7" s="24"/>
      <c r="GBJ7" s="24"/>
      <c r="GBK7" s="24"/>
      <c r="GBL7" s="24"/>
      <c r="GBM7" s="24"/>
      <c r="GBN7" s="24"/>
      <c r="GBO7" s="24"/>
      <c r="GBP7" s="24"/>
      <c r="GBQ7" s="24"/>
      <c r="GBR7" s="24"/>
      <c r="GBS7" s="24"/>
      <c r="GBT7" s="24"/>
      <c r="GBU7" s="24"/>
      <c r="GBV7" s="24"/>
      <c r="GBW7" s="24"/>
      <c r="GBX7" s="24"/>
      <c r="GBY7" s="24"/>
      <c r="GBZ7" s="24"/>
      <c r="GCA7" s="24"/>
      <c r="GCB7" s="24"/>
      <c r="GCC7" s="24"/>
      <c r="GCD7" s="24"/>
      <c r="GCE7" s="24"/>
      <c r="GCF7" s="24"/>
      <c r="GCG7" s="24"/>
      <c r="GCH7" s="24"/>
      <c r="GCI7" s="24"/>
      <c r="GCJ7" s="24"/>
      <c r="GCK7" s="24"/>
      <c r="GCL7" s="24"/>
      <c r="GCM7" s="24"/>
      <c r="GCN7" s="24"/>
      <c r="GCO7" s="24"/>
      <c r="GCP7" s="24"/>
      <c r="GCQ7" s="24"/>
      <c r="GCR7" s="24"/>
      <c r="GCS7" s="24"/>
      <c r="GCT7" s="24"/>
      <c r="GCU7" s="24"/>
      <c r="GCV7" s="24"/>
      <c r="GCW7" s="24"/>
      <c r="GCX7" s="24"/>
      <c r="GCY7" s="24"/>
      <c r="GCZ7" s="24"/>
      <c r="GDA7" s="24"/>
      <c r="GDB7" s="24"/>
      <c r="GDC7" s="24"/>
      <c r="GDD7" s="24"/>
      <c r="GDE7" s="24"/>
      <c r="GDF7" s="24"/>
      <c r="GDG7" s="24"/>
      <c r="GDH7" s="24"/>
      <c r="GDI7" s="24"/>
      <c r="GDJ7" s="24"/>
      <c r="GDK7" s="24"/>
      <c r="GDL7" s="24"/>
      <c r="GDM7" s="24"/>
      <c r="GDN7" s="24"/>
      <c r="GDO7" s="24"/>
      <c r="GDP7" s="24"/>
      <c r="GDQ7" s="24"/>
      <c r="GDR7" s="24"/>
      <c r="GDS7" s="24"/>
      <c r="GDT7" s="24"/>
      <c r="GDU7" s="24"/>
      <c r="GDV7" s="24"/>
      <c r="GDW7" s="24"/>
      <c r="GDX7" s="24"/>
      <c r="GDY7" s="24"/>
      <c r="GDZ7" s="24"/>
      <c r="GEA7" s="24"/>
      <c r="GEB7" s="24"/>
      <c r="GEC7" s="24"/>
      <c r="GED7" s="24"/>
      <c r="GEE7" s="24"/>
      <c r="GEF7" s="24"/>
      <c r="GEG7" s="24"/>
      <c r="GEH7" s="24"/>
      <c r="GEI7" s="24"/>
      <c r="GEJ7" s="24"/>
      <c r="GEK7" s="24"/>
      <c r="GEL7" s="24"/>
      <c r="GEM7" s="24"/>
      <c r="GEN7" s="24"/>
      <c r="GEO7" s="24"/>
      <c r="GEP7" s="24"/>
      <c r="GEQ7" s="24"/>
      <c r="GER7" s="24"/>
      <c r="GES7" s="24"/>
      <c r="GET7" s="24"/>
      <c r="GEU7" s="24"/>
      <c r="GEV7" s="24"/>
      <c r="GEW7" s="24"/>
      <c r="GEX7" s="24"/>
      <c r="GEY7" s="24"/>
      <c r="GEZ7" s="24"/>
      <c r="GFA7" s="24"/>
      <c r="GFB7" s="24"/>
      <c r="GFC7" s="24"/>
      <c r="GFD7" s="24"/>
      <c r="GFE7" s="24"/>
      <c r="GFF7" s="24"/>
      <c r="GFG7" s="24"/>
      <c r="GFH7" s="24"/>
      <c r="GFI7" s="24"/>
      <c r="GFJ7" s="24"/>
      <c r="GFK7" s="24"/>
      <c r="GFL7" s="24"/>
      <c r="GFM7" s="24"/>
      <c r="GFN7" s="24"/>
      <c r="GFO7" s="24"/>
      <c r="GFP7" s="24"/>
      <c r="GFQ7" s="24"/>
      <c r="GFR7" s="24"/>
      <c r="GFS7" s="24"/>
      <c r="GFT7" s="24"/>
      <c r="GFU7" s="24"/>
      <c r="GFV7" s="24"/>
      <c r="GFW7" s="24"/>
      <c r="GFX7" s="24"/>
      <c r="GFY7" s="24"/>
      <c r="GFZ7" s="24"/>
      <c r="GGA7" s="24"/>
      <c r="GGB7" s="24"/>
      <c r="GGC7" s="24"/>
      <c r="GGD7" s="24"/>
      <c r="GGE7" s="24"/>
      <c r="GGF7" s="24"/>
      <c r="GGG7" s="24"/>
      <c r="GGH7" s="24"/>
      <c r="GGI7" s="24"/>
      <c r="GGJ7" s="24"/>
      <c r="GGK7" s="24"/>
      <c r="GGL7" s="24"/>
      <c r="GGM7" s="24"/>
      <c r="GGN7" s="24"/>
      <c r="GGO7" s="24"/>
      <c r="GGP7" s="24"/>
      <c r="GGQ7" s="24"/>
      <c r="GGR7" s="24"/>
      <c r="GGS7" s="24"/>
      <c r="GGT7" s="24"/>
      <c r="GGU7" s="24"/>
      <c r="GGV7" s="24"/>
      <c r="GGW7" s="24"/>
      <c r="GGX7" s="24"/>
      <c r="GGY7" s="24"/>
      <c r="GGZ7" s="24"/>
      <c r="GHA7" s="24"/>
      <c r="GHB7" s="24"/>
      <c r="GHC7" s="24"/>
      <c r="GHD7" s="24"/>
      <c r="GHE7" s="24"/>
      <c r="GHF7" s="24"/>
      <c r="GHG7" s="24"/>
      <c r="GHH7" s="24"/>
      <c r="GHI7" s="24"/>
      <c r="GHJ7" s="24"/>
      <c r="GHK7" s="24"/>
      <c r="GHL7" s="24"/>
      <c r="GHM7" s="24"/>
      <c r="GHN7" s="24"/>
      <c r="GHO7" s="24"/>
      <c r="GHP7" s="24"/>
      <c r="GHQ7" s="24"/>
      <c r="GHR7" s="24"/>
      <c r="GHS7" s="24"/>
      <c r="GHT7" s="24"/>
      <c r="GHU7" s="24"/>
      <c r="GHV7" s="24"/>
      <c r="GHW7" s="24"/>
      <c r="GHX7" s="24"/>
      <c r="GHY7" s="24"/>
      <c r="GHZ7" s="24"/>
      <c r="GIA7" s="24"/>
      <c r="GIB7" s="24"/>
      <c r="GIC7" s="24"/>
      <c r="GID7" s="24"/>
      <c r="GIE7" s="24"/>
      <c r="GIF7" s="24"/>
      <c r="GIG7" s="24"/>
      <c r="GIH7" s="24"/>
      <c r="GII7" s="24"/>
      <c r="GIJ7" s="24"/>
      <c r="GIK7" s="24"/>
      <c r="GIL7" s="24"/>
      <c r="GIM7" s="24"/>
      <c r="GIN7" s="24"/>
      <c r="GIO7" s="24"/>
      <c r="GIP7" s="24"/>
      <c r="GIQ7" s="24"/>
      <c r="GIR7" s="24"/>
      <c r="GIS7" s="24"/>
      <c r="GIT7" s="24"/>
      <c r="GIU7" s="24"/>
      <c r="GIV7" s="24"/>
      <c r="GIW7" s="24"/>
      <c r="GIX7" s="24"/>
      <c r="GIY7" s="24"/>
      <c r="GIZ7" s="24"/>
      <c r="GJA7" s="24"/>
      <c r="GJB7" s="24"/>
      <c r="GJC7" s="24"/>
      <c r="GJD7" s="24"/>
      <c r="GJE7" s="24"/>
      <c r="GJF7" s="24"/>
      <c r="GJG7" s="24"/>
      <c r="GJH7" s="24"/>
      <c r="GJI7" s="24"/>
      <c r="GJJ7" s="24"/>
      <c r="GJK7" s="24"/>
      <c r="GJL7" s="24"/>
      <c r="GJM7" s="24"/>
      <c r="GJN7" s="24"/>
      <c r="GJO7" s="24"/>
      <c r="GJP7" s="24"/>
      <c r="GJQ7" s="24"/>
      <c r="GJR7" s="24"/>
      <c r="GJS7" s="24"/>
      <c r="GJT7" s="24"/>
      <c r="GJU7" s="24"/>
      <c r="GJV7" s="24"/>
      <c r="GJW7" s="24"/>
      <c r="GJX7" s="24"/>
      <c r="GJY7" s="24"/>
      <c r="GJZ7" s="24"/>
      <c r="GKA7" s="24"/>
      <c r="GKB7" s="24"/>
      <c r="GKC7" s="24"/>
      <c r="GKD7" s="24"/>
      <c r="GKE7" s="24"/>
      <c r="GKF7" s="24"/>
      <c r="GKG7" s="24"/>
      <c r="GKH7" s="24"/>
      <c r="GKI7" s="24"/>
      <c r="GKJ7" s="24"/>
      <c r="GKK7" s="24"/>
      <c r="GKL7" s="24"/>
      <c r="GKM7" s="24"/>
      <c r="GKN7" s="24"/>
      <c r="GKO7" s="24"/>
      <c r="GKP7" s="24"/>
      <c r="GKQ7" s="24"/>
      <c r="GKR7" s="24"/>
      <c r="GKS7" s="24"/>
      <c r="GKT7" s="24"/>
      <c r="GKU7" s="24"/>
      <c r="GKV7" s="24"/>
      <c r="GKW7" s="24"/>
      <c r="GKX7" s="24"/>
      <c r="GKY7" s="24"/>
      <c r="GKZ7" s="24"/>
      <c r="GLA7" s="24"/>
      <c r="GLB7" s="24"/>
      <c r="GLC7" s="24"/>
      <c r="GLD7" s="24"/>
      <c r="GLE7" s="24"/>
      <c r="GLF7" s="24"/>
      <c r="GLG7" s="24"/>
      <c r="GLH7" s="24"/>
      <c r="GLI7" s="24"/>
      <c r="GLJ7" s="24"/>
      <c r="GLK7" s="24"/>
      <c r="GLL7" s="24"/>
      <c r="GLM7" s="24"/>
      <c r="GLN7" s="24"/>
      <c r="GLO7" s="24"/>
      <c r="GLP7" s="24"/>
      <c r="GLQ7" s="24"/>
      <c r="GLR7" s="24"/>
      <c r="GLS7" s="24"/>
      <c r="GLT7" s="24"/>
      <c r="GLU7" s="24"/>
      <c r="GLV7" s="24"/>
      <c r="GLW7" s="24"/>
      <c r="GLX7" s="24"/>
      <c r="GLY7" s="24"/>
      <c r="GLZ7" s="24"/>
      <c r="GMA7" s="24"/>
      <c r="GMB7" s="24"/>
      <c r="GMC7" s="24"/>
      <c r="GMD7" s="24"/>
      <c r="GME7" s="24"/>
      <c r="GMF7" s="24"/>
      <c r="GMG7" s="24"/>
      <c r="GMH7" s="24"/>
      <c r="GMI7" s="24"/>
      <c r="GMJ7" s="24"/>
      <c r="GMK7" s="24"/>
      <c r="GML7" s="24"/>
      <c r="GMM7" s="24"/>
      <c r="GMN7" s="24"/>
      <c r="GMO7" s="24"/>
      <c r="GMP7" s="24"/>
      <c r="GMQ7" s="24"/>
      <c r="GMR7" s="24"/>
      <c r="GMS7" s="24"/>
      <c r="GMT7" s="24"/>
      <c r="GMU7" s="24"/>
      <c r="GMV7" s="24"/>
      <c r="GMW7" s="24"/>
      <c r="GMX7" s="24"/>
      <c r="GMY7" s="24"/>
      <c r="GMZ7" s="24"/>
      <c r="GNA7" s="24"/>
      <c r="GNB7" s="24"/>
      <c r="GNC7" s="24"/>
      <c r="GND7" s="24"/>
      <c r="GNE7" s="24"/>
      <c r="GNF7" s="24"/>
      <c r="GNG7" s="24"/>
      <c r="GNH7" s="24"/>
      <c r="GNI7" s="24"/>
      <c r="GNJ7" s="24"/>
      <c r="GNK7" s="24"/>
      <c r="GNL7" s="24"/>
      <c r="GNM7" s="24"/>
      <c r="GNN7" s="24"/>
      <c r="GNO7" s="24"/>
      <c r="GNP7" s="24"/>
      <c r="GNQ7" s="24"/>
      <c r="GNR7" s="24"/>
      <c r="GNS7" s="24"/>
      <c r="GNT7" s="24"/>
      <c r="GNU7" s="24"/>
      <c r="GNV7" s="24"/>
      <c r="GNW7" s="24"/>
      <c r="GNX7" s="24"/>
      <c r="GNY7" s="24"/>
      <c r="GNZ7" s="24"/>
      <c r="GOA7" s="24"/>
      <c r="GOB7" s="24"/>
      <c r="GOC7" s="24"/>
      <c r="GOD7" s="24"/>
      <c r="GOE7" s="24"/>
      <c r="GOF7" s="24"/>
      <c r="GOG7" s="24"/>
      <c r="GOH7" s="24"/>
      <c r="GOI7" s="24"/>
      <c r="GOJ7" s="24"/>
      <c r="GOK7" s="24"/>
      <c r="GOL7" s="24"/>
      <c r="GOM7" s="24"/>
      <c r="GON7" s="24"/>
      <c r="GOO7" s="24"/>
      <c r="GOP7" s="24"/>
      <c r="GOQ7" s="24"/>
      <c r="GOR7" s="24"/>
      <c r="GOS7" s="24"/>
      <c r="GOT7" s="24"/>
      <c r="GOU7" s="24"/>
      <c r="GOV7" s="24"/>
      <c r="GOW7" s="24"/>
      <c r="GOX7" s="24"/>
      <c r="GOY7" s="24"/>
      <c r="GOZ7" s="24"/>
      <c r="GPA7" s="24"/>
      <c r="GPB7" s="24"/>
      <c r="GPC7" s="24"/>
      <c r="GPD7" s="24"/>
      <c r="GPE7" s="24"/>
      <c r="GPF7" s="24"/>
      <c r="GPG7" s="24"/>
      <c r="GPH7" s="24"/>
      <c r="GPI7" s="24"/>
      <c r="GPJ7" s="24"/>
      <c r="GPK7" s="24"/>
      <c r="GPL7" s="24"/>
      <c r="GPM7" s="24"/>
      <c r="GPN7" s="24"/>
      <c r="GPO7" s="24"/>
      <c r="GPP7" s="24"/>
      <c r="GPQ7" s="24"/>
      <c r="GPR7" s="24"/>
      <c r="GPS7" s="24"/>
      <c r="GPT7" s="24"/>
      <c r="GPU7" s="24"/>
      <c r="GPV7" s="24"/>
      <c r="GPW7" s="24"/>
      <c r="GPX7" s="24"/>
      <c r="GPY7" s="24"/>
      <c r="GPZ7" s="24"/>
      <c r="GQA7" s="24"/>
      <c r="GQB7" s="24"/>
      <c r="GQC7" s="24"/>
      <c r="GQD7" s="24"/>
      <c r="GQE7" s="24"/>
      <c r="GQF7" s="24"/>
      <c r="GQG7" s="24"/>
      <c r="GQH7" s="24"/>
      <c r="GQI7" s="24"/>
      <c r="GQJ7" s="24"/>
      <c r="GQK7" s="24"/>
      <c r="GQL7" s="24"/>
      <c r="GQM7" s="24"/>
      <c r="GQN7" s="24"/>
      <c r="GQO7" s="24"/>
      <c r="GQP7" s="24"/>
      <c r="GQQ7" s="24"/>
      <c r="GQR7" s="24"/>
      <c r="GQS7" s="24"/>
      <c r="GQT7" s="24"/>
      <c r="GQU7" s="24"/>
      <c r="GQV7" s="24"/>
      <c r="GQW7" s="24"/>
      <c r="GQX7" s="24"/>
      <c r="GQY7" s="24"/>
      <c r="GQZ7" s="24"/>
      <c r="GRA7" s="24"/>
      <c r="GRB7" s="24"/>
      <c r="GRC7" s="24"/>
      <c r="GRD7" s="24"/>
      <c r="GRE7" s="24"/>
      <c r="GRF7" s="24"/>
      <c r="GRG7" s="24"/>
      <c r="GRH7" s="24"/>
      <c r="GRI7" s="24"/>
      <c r="GRJ7" s="24"/>
      <c r="GRK7" s="24"/>
      <c r="GRL7" s="24"/>
      <c r="GRM7" s="24"/>
      <c r="GRN7" s="24"/>
      <c r="GRO7" s="24"/>
      <c r="GRP7" s="24"/>
      <c r="GRQ7" s="24"/>
      <c r="GRR7" s="24"/>
      <c r="GRS7" s="24"/>
      <c r="GRT7" s="24"/>
      <c r="GRU7" s="24"/>
      <c r="GRV7" s="24"/>
      <c r="GRW7" s="24"/>
      <c r="GRX7" s="24"/>
      <c r="GRY7" s="24"/>
      <c r="GRZ7" s="24"/>
      <c r="GSA7" s="24"/>
      <c r="GSB7" s="24"/>
      <c r="GSC7" s="24"/>
      <c r="GSD7" s="24"/>
      <c r="GSE7" s="24"/>
      <c r="GSF7" s="24"/>
      <c r="GSG7" s="24"/>
      <c r="GSH7" s="24"/>
      <c r="GSI7" s="24"/>
      <c r="GSJ7" s="24"/>
      <c r="GSK7" s="24"/>
      <c r="GSL7" s="24"/>
      <c r="GSM7" s="24"/>
      <c r="GSN7" s="24"/>
      <c r="GSO7" s="24"/>
      <c r="GSP7" s="24"/>
      <c r="GSQ7" s="24"/>
      <c r="GSR7" s="24"/>
      <c r="GSS7" s="24"/>
      <c r="GST7" s="24"/>
      <c r="GSU7" s="24"/>
      <c r="GSV7" s="24"/>
      <c r="GSW7" s="24"/>
      <c r="GSX7" s="24"/>
      <c r="GSY7" s="24"/>
      <c r="GSZ7" s="24"/>
      <c r="GTA7" s="24"/>
      <c r="GTB7" s="24"/>
      <c r="GTC7" s="24"/>
      <c r="GTD7" s="24"/>
      <c r="GTE7" s="24"/>
      <c r="GTF7" s="24"/>
      <c r="GTG7" s="24"/>
      <c r="GTH7" s="24"/>
      <c r="GTI7" s="24"/>
      <c r="GTJ7" s="24"/>
      <c r="GTK7" s="24"/>
      <c r="GTL7" s="24"/>
      <c r="GTM7" s="24"/>
      <c r="GTN7" s="24"/>
      <c r="GTO7" s="24"/>
      <c r="GTP7" s="24"/>
      <c r="GTQ7" s="24"/>
      <c r="GTR7" s="24"/>
      <c r="GTS7" s="24"/>
      <c r="GTT7" s="24"/>
      <c r="GTU7" s="24"/>
      <c r="GTV7" s="24"/>
      <c r="GTW7" s="24"/>
      <c r="GTX7" s="24"/>
      <c r="GTY7" s="24"/>
      <c r="GTZ7" s="24"/>
      <c r="GUA7" s="24"/>
      <c r="GUB7" s="24"/>
      <c r="GUC7" s="24"/>
      <c r="GUD7" s="24"/>
      <c r="GUE7" s="24"/>
      <c r="GUF7" s="24"/>
      <c r="GUG7" s="24"/>
      <c r="GUH7" s="24"/>
      <c r="GUI7" s="24"/>
      <c r="GUJ7" s="24"/>
      <c r="GUK7" s="24"/>
      <c r="GUL7" s="24"/>
      <c r="GUM7" s="24"/>
      <c r="GUN7" s="24"/>
      <c r="GUO7" s="24"/>
      <c r="GUP7" s="24"/>
      <c r="GUQ7" s="24"/>
      <c r="GUR7" s="24"/>
      <c r="GUS7" s="24"/>
      <c r="GUT7" s="24"/>
      <c r="GUU7" s="24"/>
      <c r="GUV7" s="24"/>
      <c r="GUW7" s="24"/>
      <c r="GUX7" s="24"/>
      <c r="GUY7" s="24"/>
      <c r="GUZ7" s="24"/>
      <c r="GVA7" s="24"/>
      <c r="GVB7" s="24"/>
      <c r="GVC7" s="24"/>
      <c r="GVD7" s="24"/>
      <c r="GVE7" s="24"/>
      <c r="GVF7" s="24"/>
      <c r="GVG7" s="24"/>
      <c r="GVH7" s="24"/>
      <c r="GVI7" s="24"/>
      <c r="GVJ7" s="24"/>
      <c r="GVK7" s="24"/>
      <c r="GVL7" s="24"/>
      <c r="GVM7" s="24"/>
      <c r="GVN7" s="24"/>
      <c r="GVO7" s="24"/>
      <c r="GVP7" s="24"/>
      <c r="GVQ7" s="24"/>
      <c r="GVR7" s="24"/>
      <c r="GVS7" s="24"/>
      <c r="GVT7" s="24"/>
      <c r="GVU7" s="24"/>
      <c r="GVV7" s="24"/>
      <c r="GVW7" s="24"/>
      <c r="GVX7" s="24"/>
      <c r="GVY7" s="24"/>
      <c r="GVZ7" s="24"/>
      <c r="GWA7" s="24"/>
      <c r="GWB7" s="24"/>
      <c r="GWC7" s="24"/>
      <c r="GWD7" s="24"/>
      <c r="GWE7" s="24"/>
      <c r="GWF7" s="24"/>
      <c r="GWG7" s="24"/>
      <c r="GWH7" s="24"/>
      <c r="GWI7" s="24"/>
      <c r="GWJ7" s="24"/>
      <c r="GWK7" s="24"/>
      <c r="GWL7" s="24"/>
      <c r="GWM7" s="24"/>
      <c r="GWN7" s="24"/>
      <c r="GWO7" s="24"/>
      <c r="GWP7" s="24"/>
      <c r="GWQ7" s="24"/>
      <c r="GWR7" s="24"/>
      <c r="GWS7" s="24"/>
      <c r="GWT7" s="24"/>
      <c r="GWU7" s="24"/>
      <c r="GWV7" s="24"/>
      <c r="GWW7" s="24"/>
      <c r="GWX7" s="24"/>
      <c r="GWY7" s="24"/>
      <c r="GWZ7" s="24"/>
      <c r="GXA7" s="24"/>
      <c r="GXB7" s="24"/>
      <c r="GXC7" s="24"/>
      <c r="GXD7" s="24"/>
      <c r="GXE7" s="24"/>
      <c r="GXF7" s="24"/>
      <c r="GXG7" s="24"/>
      <c r="GXH7" s="24"/>
      <c r="GXI7" s="24"/>
      <c r="GXJ7" s="24"/>
      <c r="GXK7" s="24"/>
      <c r="GXL7" s="24"/>
      <c r="GXM7" s="24"/>
      <c r="GXN7" s="24"/>
      <c r="GXO7" s="24"/>
      <c r="GXP7" s="24"/>
      <c r="GXQ7" s="24"/>
      <c r="GXR7" s="24"/>
      <c r="GXS7" s="24"/>
      <c r="GXT7" s="24"/>
      <c r="GXU7" s="24"/>
      <c r="GXV7" s="24"/>
      <c r="GXW7" s="24"/>
      <c r="GXX7" s="24"/>
      <c r="GXY7" s="24"/>
      <c r="GXZ7" s="24"/>
      <c r="GYA7" s="24"/>
      <c r="GYB7" s="24"/>
      <c r="GYC7" s="24"/>
      <c r="GYD7" s="24"/>
      <c r="GYE7" s="24"/>
      <c r="GYF7" s="24"/>
      <c r="GYG7" s="24"/>
      <c r="GYH7" s="24"/>
      <c r="GYI7" s="24"/>
      <c r="GYJ7" s="24"/>
      <c r="GYK7" s="24"/>
      <c r="GYL7" s="24"/>
      <c r="GYM7" s="24"/>
      <c r="GYN7" s="24"/>
      <c r="GYO7" s="24"/>
      <c r="GYP7" s="24"/>
      <c r="GYQ7" s="24"/>
      <c r="GYR7" s="24"/>
      <c r="GYS7" s="24"/>
      <c r="GYT7" s="24"/>
      <c r="GYU7" s="24"/>
      <c r="GYV7" s="24"/>
      <c r="GYW7" s="24"/>
      <c r="GYX7" s="24"/>
      <c r="GYY7" s="24"/>
      <c r="GYZ7" s="24"/>
      <c r="GZA7" s="24"/>
      <c r="GZB7" s="24"/>
      <c r="GZC7" s="24"/>
      <c r="GZD7" s="24"/>
      <c r="GZE7" s="24"/>
      <c r="GZF7" s="24"/>
      <c r="GZG7" s="24"/>
      <c r="GZH7" s="24"/>
      <c r="GZI7" s="24"/>
      <c r="GZJ7" s="24"/>
      <c r="GZK7" s="24"/>
      <c r="GZL7" s="24"/>
      <c r="GZM7" s="24"/>
      <c r="GZN7" s="24"/>
      <c r="GZO7" s="24"/>
      <c r="GZP7" s="24"/>
      <c r="GZQ7" s="24"/>
      <c r="GZR7" s="24"/>
      <c r="GZS7" s="24"/>
      <c r="GZT7" s="24"/>
      <c r="GZU7" s="24"/>
      <c r="GZV7" s="24"/>
      <c r="GZW7" s="24"/>
      <c r="GZX7" s="24"/>
      <c r="GZY7" s="24"/>
      <c r="GZZ7" s="24"/>
      <c r="HAA7" s="24"/>
      <c r="HAB7" s="24"/>
      <c r="HAC7" s="24"/>
      <c r="HAD7" s="24"/>
      <c r="HAE7" s="24"/>
      <c r="HAF7" s="24"/>
      <c r="HAG7" s="24"/>
      <c r="HAH7" s="24"/>
      <c r="HAI7" s="24"/>
      <c r="HAJ7" s="24"/>
      <c r="HAK7" s="24"/>
      <c r="HAL7" s="24"/>
      <c r="HAM7" s="24"/>
      <c r="HAN7" s="24"/>
      <c r="HAO7" s="24"/>
      <c r="HAP7" s="24"/>
      <c r="HAQ7" s="24"/>
      <c r="HAR7" s="24"/>
      <c r="HAS7" s="24"/>
      <c r="HAT7" s="24"/>
      <c r="HAU7" s="24"/>
      <c r="HAV7" s="24"/>
      <c r="HAW7" s="24"/>
      <c r="HAX7" s="24"/>
      <c r="HAY7" s="24"/>
      <c r="HAZ7" s="24"/>
      <c r="HBA7" s="24"/>
      <c r="HBB7" s="24"/>
      <c r="HBC7" s="24"/>
      <c r="HBD7" s="24"/>
      <c r="HBE7" s="24"/>
      <c r="HBF7" s="24"/>
      <c r="HBG7" s="24"/>
      <c r="HBH7" s="24"/>
      <c r="HBI7" s="24"/>
      <c r="HBJ7" s="24"/>
      <c r="HBK7" s="24"/>
      <c r="HBL7" s="24"/>
      <c r="HBM7" s="24"/>
      <c r="HBN7" s="24"/>
      <c r="HBO7" s="24"/>
      <c r="HBP7" s="24"/>
      <c r="HBQ7" s="24"/>
      <c r="HBR7" s="24"/>
      <c r="HBS7" s="24"/>
      <c r="HBT7" s="24"/>
      <c r="HBU7" s="24"/>
      <c r="HBV7" s="24"/>
      <c r="HBW7" s="24"/>
      <c r="HBX7" s="24"/>
      <c r="HBY7" s="24"/>
      <c r="HBZ7" s="24"/>
      <c r="HCA7" s="24"/>
      <c r="HCB7" s="24"/>
      <c r="HCC7" s="24"/>
      <c r="HCD7" s="24"/>
      <c r="HCE7" s="24"/>
      <c r="HCF7" s="24"/>
      <c r="HCG7" s="24"/>
      <c r="HCH7" s="24"/>
      <c r="HCI7" s="24"/>
      <c r="HCJ7" s="24"/>
      <c r="HCK7" s="24"/>
      <c r="HCL7" s="24"/>
      <c r="HCM7" s="24"/>
      <c r="HCN7" s="24"/>
      <c r="HCO7" s="24"/>
      <c r="HCP7" s="24"/>
      <c r="HCQ7" s="24"/>
      <c r="HCR7" s="24"/>
      <c r="HCS7" s="24"/>
      <c r="HCT7" s="24"/>
      <c r="HCU7" s="24"/>
      <c r="HCV7" s="24"/>
      <c r="HCW7" s="24"/>
      <c r="HCX7" s="24"/>
      <c r="HCY7" s="24"/>
      <c r="HCZ7" s="24"/>
      <c r="HDA7" s="24"/>
      <c r="HDB7" s="24"/>
      <c r="HDC7" s="24"/>
      <c r="HDD7" s="24"/>
      <c r="HDE7" s="24"/>
      <c r="HDF7" s="24"/>
      <c r="HDG7" s="24"/>
      <c r="HDH7" s="24"/>
      <c r="HDI7" s="24"/>
      <c r="HDJ7" s="24"/>
      <c r="HDK7" s="24"/>
      <c r="HDL7" s="24"/>
      <c r="HDM7" s="24"/>
      <c r="HDN7" s="24"/>
      <c r="HDO7" s="24"/>
      <c r="HDP7" s="24"/>
      <c r="HDQ7" s="24"/>
      <c r="HDR7" s="24"/>
      <c r="HDS7" s="24"/>
      <c r="HDT7" s="24"/>
      <c r="HDU7" s="24"/>
      <c r="HDV7" s="24"/>
      <c r="HDW7" s="24"/>
      <c r="HDX7" s="24"/>
      <c r="HDY7" s="24"/>
      <c r="HDZ7" s="24"/>
      <c r="HEA7" s="24"/>
      <c r="HEB7" s="24"/>
      <c r="HEC7" s="24"/>
      <c r="HED7" s="24"/>
      <c r="HEE7" s="24"/>
      <c r="HEF7" s="24"/>
      <c r="HEG7" s="24"/>
      <c r="HEH7" s="24"/>
      <c r="HEI7" s="24"/>
      <c r="HEJ7" s="24"/>
      <c r="HEK7" s="24"/>
      <c r="HEL7" s="24"/>
      <c r="HEM7" s="24"/>
      <c r="HEN7" s="24"/>
      <c r="HEO7" s="24"/>
      <c r="HEP7" s="24"/>
      <c r="HEQ7" s="24"/>
      <c r="HER7" s="24"/>
      <c r="HES7" s="24"/>
      <c r="HET7" s="24"/>
      <c r="HEU7" s="24"/>
      <c r="HEV7" s="24"/>
      <c r="HEW7" s="24"/>
      <c r="HEX7" s="24"/>
      <c r="HEY7" s="24"/>
      <c r="HEZ7" s="24"/>
      <c r="HFA7" s="24"/>
      <c r="HFB7" s="24"/>
      <c r="HFC7" s="24"/>
      <c r="HFD7" s="24"/>
      <c r="HFE7" s="24"/>
      <c r="HFF7" s="24"/>
      <c r="HFG7" s="24"/>
      <c r="HFH7" s="24"/>
      <c r="HFI7" s="24"/>
      <c r="HFJ7" s="24"/>
      <c r="HFK7" s="24"/>
      <c r="HFL7" s="24"/>
      <c r="HFM7" s="24"/>
      <c r="HFN7" s="24"/>
      <c r="HFO7" s="24"/>
      <c r="HFP7" s="24"/>
      <c r="HFQ7" s="24"/>
      <c r="HFR7" s="24"/>
      <c r="HFS7" s="24"/>
      <c r="HFT7" s="24"/>
      <c r="HFU7" s="24"/>
      <c r="HFV7" s="24"/>
      <c r="HFW7" s="24"/>
      <c r="HFX7" s="24"/>
      <c r="HFY7" s="24"/>
      <c r="HFZ7" s="24"/>
      <c r="HGA7" s="24"/>
      <c r="HGB7" s="24"/>
      <c r="HGC7" s="24"/>
      <c r="HGD7" s="24"/>
      <c r="HGE7" s="24"/>
      <c r="HGF7" s="24"/>
      <c r="HGG7" s="24"/>
      <c r="HGH7" s="24"/>
      <c r="HGI7" s="24"/>
      <c r="HGJ7" s="24"/>
      <c r="HGK7" s="24"/>
      <c r="HGL7" s="24"/>
      <c r="HGM7" s="24"/>
      <c r="HGN7" s="24"/>
      <c r="HGO7" s="24"/>
      <c r="HGP7" s="24"/>
      <c r="HGQ7" s="24"/>
      <c r="HGR7" s="24"/>
      <c r="HGS7" s="24"/>
      <c r="HGT7" s="24"/>
      <c r="HGU7" s="24"/>
      <c r="HGV7" s="24"/>
      <c r="HGW7" s="24"/>
      <c r="HGX7" s="24"/>
      <c r="HGY7" s="24"/>
      <c r="HGZ7" s="24"/>
      <c r="HHA7" s="24"/>
      <c r="HHB7" s="24"/>
      <c r="HHC7" s="24"/>
      <c r="HHD7" s="24"/>
      <c r="HHE7" s="24"/>
      <c r="HHF7" s="24"/>
      <c r="HHG7" s="24"/>
      <c r="HHH7" s="24"/>
      <c r="HHI7" s="24"/>
      <c r="HHJ7" s="24"/>
      <c r="HHK7" s="24"/>
      <c r="HHL7" s="24"/>
      <c r="HHM7" s="24"/>
      <c r="HHN7" s="24"/>
      <c r="HHO7" s="24"/>
      <c r="HHP7" s="24"/>
      <c r="HHQ7" s="24"/>
      <c r="HHR7" s="24"/>
      <c r="HHS7" s="24"/>
      <c r="HHT7" s="24"/>
      <c r="HHU7" s="24"/>
      <c r="HHV7" s="24"/>
      <c r="HHW7" s="24"/>
      <c r="HHX7" s="24"/>
      <c r="HHY7" s="24"/>
      <c r="HHZ7" s="24"/>
      <c r="HIA7" s="24"/>
      <c r="HIB7" s="24"/>
      <c r="HIC7" s="24"/>
      <c r="HID7" s="24"/>
      <c r="HIE7" s="24"/>
      <c r="HIF7" s="24"/>
      <c r="HIG7" s="24"/>
      <c r="HIH7" s="24"/>
      <c r="HII7" s="24"/>
      <c r="HIJ7" s="24"/>
      <c r="HIK7" s="24"/>
      <c r="HIL7" s="24"/>
      <c r="HIM7" s="24"/>
      <c r="HIN7" s="24"/>
      <c r="HIO7" s="24"/>
      <c r="HIP7" s="24"/>
      <c r="HIQ7" s="24"/>
      <c r="HIR7" s="24"/>
      <c r="HIS7" s="24"/>
      <c r="HIT7" s="24"/>
      <c r="HIU7" s="24"/>
      <c r="HIV7" s="24"/>
      <c r="HIW7" s="24"/>
      <c r="HIX7" s="24"/>
      <c r="HIY7" s="24"/>
      <c r="HIZ7" s="24"/>
      <c r="HJA7" s="24"/>
      <c r="HJB7" s="24"/>
      <c r="HJC7" s="24"/>
      <c r="HJD7" s="24"/>
      <c r="HJE7" s="24"/>
      <c r="HJF7" s="24"/>
      <c r="HJG7" s="24"/>
      <c r="HJH7" s="24"/>
      <c r="HJI7" s="24"/>
      <c r="HJJ7" s="24"/>
      <c r="HJK7" s="24"/>
      <c r="HJL7" s="24"/>
      <c r="HJM7" s="24"/>
      <c r="HJN7" s="24"/>
      <c r="HJO7" s="24"/>
      <c r="HJP7" s="24"/>
      <c r="HJQ7" s="24"/>
      <c r="HJR7" s="24"/>
      <c r="HJS7" s="24"/>
      <c r="HJT7" s="24"/>
      <c r="HJU7" s="24"/>
      <c r="HJV7" s="24"/>
      <c r="HJW7" s="24"/>
      <c r="HJX7" s="24"/>
      <c r="HJY7" s="24"/>
      <c r="HJZ7" s="24"/>
      <c r="HKA7" s="24"/>
      <c r="HKB7" s="24"/>
      <c r="HKC7" s="24"/>
      <c r="HKD7" s="24"/>
      <c r="HKE7" s="24"/>
      <c r="HKF7" s="24"/>
      <c r="HKG7" s="24"/>
      <c r="HKH7" s="24"/>
      <c r="HKI7" s="24"/>
      <c r="HKJ7" s="24"/>
      <c r="HKK7" s="24"/>
      <c r="HKL7" s="24"/>
      <c r="HKM7" s="24"/>
      <c r="HKN7" s="24"/>
      <c r="HKO7" s="24"/>
      <c r="HKP7" s="24"/>
      <c r="HKQ7" s="24"/>
      <c r="HKR7" s="24"/>
      <c r="HKS7" s="24"/>
      <c r="HKT7" s="24"/>
      <c r="HKU7" s="24"/>
      <c r="HKV7" s="24"/>
      <c r="HKW7" s="24"/>
      <c r="HKX7" s="24"/>
      <c r="HKY7" s="24"/>
      <c r="HKZ7" s="24"/>
      <c r="HLA7" s="24"/>
      <c r="HLB7" s="24"/>
      <c r="HLC7" s="24"/>
      <c r="HLD7" s="24"/>
      <c r="HLE7" s="24"/>
      <c r="HLF7" s="24"/>
      <c r="HLG7" s="24"/>
      <c r="HLH7" s="24"/>
      <c r="HLI7" s="24"/>
      <c r="HLJ7" s="24"/>
      <c r="HLK7" s="24"/>
      <c r="HLL7" s="24"/>
      <c r="HLM7" s="24"/>
      <c r="HLN7" s="24"/>
      <c r="HLO7" s="24"/>
      <c r="HLP7" s="24"/>
      <c r="HLQ7" s="24"/>
      <c r="HLR7" s="24"/>
      <c r="HLS7" s="24"/>
      <c r="HLT7" s="24"/>
      <c r="HLU7" s="24"/>
      <c r="HLV7" s="24"/>
      <c r="HLW7" s="24"/>
      <c r="HLX7" s="24"/>
      <c r="HLY7" s="24"/>
      <c r="HLZ7" s="24"/>
      <c r="HMA7" s="24"/>
      <c r="HMB7" s="24"/>
      <c r="HMC7" s="24"/>
      <c r="HMD7" s="24"/>
      <c r="HME7" s="24"/>
      <c r="HMF7" s="24"/>
      <c r="HMG7" s="24"/>
      <c r="HMH7" s="24"/>
      <c r="HMI7" s="24"/>
      <c r="HMJ7" s="24"/>
      <c r="HMK7" s="24"/>
      <c r="HML7" s="24"/>
      <c r="HMM7" s="24"/>
      <c r="HMN7" s="24"/>
      <c r="HMO7" s="24"/>
      <c r="HMP7" s="24"/>
      <c r="HMQ7" s="24"/>
      <c r="HMR7" s="24"/>
      <c r="HMS7" s="24"/>
      <c r="HMT7" s="24"/>
      <c r="HMU7" s="24"/>
      <c r="HMV7" s="24"/>
      <c r="HMW7" s="24"/>
      <c r="HMX7" s="24"/>
      <c r="HMY7" s="24"/>
      <c r="HMZ7" s="24"/>
      <c r="HNA7" s="24"/>
      <c r="HNB7" s="24"/>
      <c r="HNC7" s="24"/>
      <c r="HND7" s="24"/>
      <c r="HNE7" s="24"/>
      <c r="HNF7" s="24"/>
      <c r="HNG7" s="24"/>
      <c r="HNH7" s="24"/>
      <c r="HNI7" s="24"/>
      <c r="HNJ7" s="24"/>
      <c r="HNK7" s="24"/>
      <c r="HNL7" s="24"/>
      <c r="HNM7" s="24"/>
      <c r="HNN7" s="24"/>
      <c r="HNO7" s="24"/>
      <c r="HNP7" s="24"/>
      <c r="HNQ7" s="24"/>
      <c r="HNR7" s="24"/>
      <c r="HNS7" s="24"/>
      <c r="HNT7" s="24"/>
      <c r="HNU7" s="24"/>
      <c r="HNV7" s="24"/>
      <c r="HNW7" s="24"/>
      <c r="HNX7" s="24"/>
      <c r="HNY7" s="24"/>
      <c r="HNZ7" s="24"/>
      <c r="HOA7" s="24"/>
      <c r="HOB7" s="24"/>
      <c r="HOC7" s="24"/>
      <c r="HOD7" s="24"/>
      <c r="HOE7" s="24"/>
      <c r="HOF7" s="24"/>
      <c r="HOG7" s="24"/>
      <c r="HOH7" s="24"/>
      <c r="HOI7" s="24"/>
      <c r="HOJ7" s="24"/>
      <c r="HOK7" s="24"/>
      <c r="HOL7" s="24"/>
      <c r="HOM7" s="24"/>
      <c r="HON7" s="24"/>
      <c r="HOO7" s="24"/>
      <c r="HOP7" s="24"/>
      <c r="HOQ7" s="24"/>
      <c r="HOR7" s="24"/>
      <c r="HOS7" s="24"/>
      <c r="HOT7" s="24"/>
      <c r="HOU7" s="24"/>
      <c r="HOV7" s="24"/>
      <c r="HOW7" s="24"/>
      <c r="HOX7" s="24"/>
      <c r="HOY7" s="24"/>
      <c r="HOZ7" s="24"/>
      <c r="HPA7" s="24"/>
      <c r="HPB7" s="24"/>
      <c r="HPC7" s="24"/>
      <c r="HPD7" s="24"/>
      <c r="HPE7" s="24"/>
      <c r="HPF7" s="24"/>
      <c r="HPG7" s="24"/>
      <c r="HPH7" s="24"/>
      <c r="HPI7" s="24"/>
      <c r="HPJ7" s="24"/>
      <c r="HPK7" s="24"/>
      <c r="HPL7" s="24"/>
      <c r="HPM7" s="24"/>
      <c r="HPN7" s="24"/>
      <c r="HPO7" s="24"/>
      <c r="HPP7" s="24"/>
      <c r="HPQ7" s="24"/>
      <c r="HPR7" s="24"/>
      <c r="HPS7" s="24"/>
      <c r="HPT7" s="24"/>
      <c r="HPU7" s="24"/>
      <c r="HPV7" s="24"/>
      <c r="HPW7" s="24"/>
      <c r="HPX7" s="24"/>
      <c r="HPY7" s="24"/>
      <c r="HPZ7" s="24"/>
      <c r="HQA7" s="24"/>
      <c r="HQB7" s="24"/>
      <c r="HQC7" s="24"/>
      <c r="HQD7" s="24"/>
      <c r="HQE7" s="24"/>
      <c r="HQF7" s="24"/>
      <c r="HQG7" s="24"/>
      <c r="HQH7" s="24"/>
      <c r="HQI7" s="24"/>
      <c r="HQJ7" s="24"/>
      <c r="HQK7" s="24"/>
      <c r="HQL7" s="24"/>
      <c r="HQM7" s="24"/>
      <c r="HQN7" s="24"/>
      <c r="HQO7" s="24"/>
      <c r="HQP7" s="24"/>
      <c r="HQQ7" s="24"/>
      <c r="HQR7" s="24"/>
      <c r="HQS7" s="24"/>
      <c r="HQT7" s="24"/>
      <c r="HQU7" s="24"/>
      <c r="HQV7" s="24"/>
      <c r="HQW7" s="24"/>
      <c r="HQX7" s="24"/>
      <c r="HQY7" s="24"/>
      <c r="HQZ7" s="24"/>
      <c r="HRA7" s="24"/>
      <c r="HRB7" s="24"/>
      <c r="HRC7" s="24"/>
      <c r="HRD7" s="24"/>
      <c r="HRE7" s="24"/>
      <c r="HRF7" s="24"/>
      <c r="HRG7" s="24"/>
      <c r="HRH7" s="24"/>
      <c r="HRI7" s="24"/>
      <c r="HRJ7" s="24"/>
      <c r="HRK7" s="24"/>
      <c r="HRL7" s="24"/>
      <c r="HRM7" s="24"/>
      <c r="HRN7" s="24"/>
      <c r="HRO7" s="24"/>
      <c r="HRP7" s="24"/>
      <c r="HRQ7" s="24"/>
      <c r="HRR7" s="24"/>
      <c r="HRS7" s="24"/>
      <c r="HRT7" s="24"/>
      <c r="HRU7" s="24"/>
      <c r="HRV7" s="24"/>
      <c r="HRW7" s="24"/>
      <c r="HRX7" s="24"/>
      <c r="HRY7" s="24"/>
      <c r="HRZ7" s="24"/>
      <c r="HSA7" s="24"/>
      <c r="HSB7" s="24"/>
      <c r="HSC7" s="24"/>
      <c r="HSD7" s="24"/>
      <c r="HSE7" s="24"/>
      <c r="HSF7" s="24"/>
      <c r="HSG7" s="24"/>
      <c r="HSH7" s="24"/>
      <c r="HSI7" s="24"/>
      <c r="HSJ7" s="24"/>
      <c r="HSK7" s="24"/>
      <c r="HSL7" s="24"/>
      <c r="HSM7" s="24"/>
      <c r="HSN7" s="24"/>
      <c r="HSO7" s="24"/>
      <c r="HSP7" s="24"/>
      <c r="HSQ7" s="24"/>
      <c r="HSR7" s="24"/>
      <c r="HSS7" s="24"/>
      <c r="HST7" s="24"/>
      <c r="HSU7" s="24"/>
      <c r="HSV7" s="24"/>
      <c r="HSW7" s="24"/>
      <c r="HSX7" s="24"/>
      <c r="HSY7" s="24"/>
      <c r="HSZ7" s="24"/>
      <c r="HTA7" s="24"/>
      <c r="HTB7" s="24"/>
      <c r="HTC7" s="24"/>
      <c r="HTD7" s="24"/>
      <c r="HTE7" s="24"/>
      <c r="HTF7" s="24"/>
      <c r="HTG7" s="24"/>
      <c r="HTH7" s="24"/>
      <c r="HTI7" s="24"/>
      <c r="HTJ7" s="24"/>
      <c r="HTK7" s="24"/>
      <c r="HTL7" s="24"/>
      <c r="HTM7" s="24"/>
      <c r="HTN7" s="24"/>
      <c r="HTO7" s="24"/>
      <c r="HTP7" s="24"/>
      <c r="HTQ7" s="24"/>
      <c r="HTR7" s="24"/>
      <c r="HTS7" s="24"/>
      <c r="HTT7" s="24"/>
      <c r="HTU7" s="24"/>
      <c r="HTV7" s="24"/>
      <c r="HTW7" s="24"/>
      <c r="HTX7" s="24"/>
      <c r="HTY7" s="24"/>
      <c r="HTZ7" s="24"/>
      <c r="HUA7" s="24"/>
      <c r="HUB7" s="24"/>
      <c r="HUC7" s="24"/>
      <c r="HUD7" s="24"/>
      <c r="HUE7" s="24"/>
      <c r="HUF7" s="24"/>
      <c r="HUG7" s="24"/>
      <c r="HUH7" s="24"/>
      <c r="HUI7" s="24"/>
      <c r="HUJ7" s="24"/>
      <c r="HUK7" s="24"/>
      <c r="HUL7" s="24"/>
      <c r="HUM7" s="24"/>
      <c r="HUN7" s="24"/>
      <c r="HUO7" s="24"/>
      <c r="HUP7" s="24"/>
      <c r="HUQ7" s="24"/>
      <c r="HUR7" s="24"/>
      <c r="HUS7" s="24"/>
      <c r="HUT7" s="24"/>
      <c r="HUU7" s="24"/>
      <c r="HUV7" s="24"/>
      <c r="HUW7" s="24"/>
      <c r="HUX7" s="24"/>
      <c r="HUY7" s="24"/>
      <c r="HUZ7" s="24"/>
      <c r="HVA7" s="24"/>
      <c r="HVB7" s="24"/>
      <c r="HVC7" s="24"/>
      <c r="HVD7" s="24"/>
      <c r="HVE7" s="24"/>
      <c r="HVF7" s="24"/>
      <c r="HVG7" s="24"/>
      <c r="HVH7" s="24"/>
      <c r="HVI7" s="24"/>
      <c r="HVJ7" s="24"/>
      <c r="HVK7" s="24"/>
      <c r="HVL7" s="24"/>
      <c r="HVM7" s="24"/>
      <c r="HVN7" s="24"/>
      <c r="HVO7" s="24"/>
      <c r="HVP7" s="24"/>
      <c r="HVQ7" s="24"/>
      <c r="HVR7" s="24"/>
      <c r="HVS7" s="24"/>
      <c r="HVT7" s="24"/>
      <c r="HVU7" s="24"/>
      <c r="HVV7" s="24"/>
      <c r="HVW7" s="24"/>
      <c r="HVX7" s="24"/>
      <c r="HVY7" s="24"/>
      <c r="HVZ7" s="24"/>
      <c r="HWA7" s="24"/>
      <c r="HWB7" s="24"/>
      <c r="HWC7" s="24"/>
      <c r="HWD7" s="24"/>
      <c r="HWE7" s="24"/>
      <c r="HWF7" s="24"/>
      <c r="HWG7" s="24"/>
      <c r="HWH7" s="24"/>
      <c r="HWI7" s="24"/>
      <c r="HWJ7" s="24"/>
      <c r="HWK7" s="24"/>
      <c r="HWL7" s="24"/>
      <c r="HWM7" s="24"/>
      <c r="HWN7" s="24"/>
      <c r="HWO7" s="24"/>
      <c r="HWP7" s="24"/>
      <c r="HWQ7" s="24"/>
      <c r="HWR7" s="24"/>
      <c r="HWS7" s="24"/>
      <c r="HWT7" s="24"/>
      <c r="HWU7" s="24"/>
      <c r="HWV7" s="24"/>
      <c r="HWW7" s="24"/>
      <c r="HWX7" s="24"/>
      <c r="HWY7" s="24"/>
      <c r="HWZ7" s="24"/>
      <c r="HXA7" s="24"/>
      <c r="HXB7" s="24"/>
      <c r="HXC7" s="24"/>
      <c r="HXD7" s="24"/>
      <c r="HXE7" s="24"/>
      <c r="HXF7" s="24"/>
      <c r="HXG7" s="24"/>
      <c r="HXH7" s="24"/>
      <c r="HXI7" s="24"/>
      <c r="HXJ7" s="24"/>
      <c r="HXK7" s="24"/>
      <c r="HXL7" s="24"/>
      <c r="HXM7" s="24"/>
      <c r="HXN7" s="24"/>
      <c r="HXO7" s="24"/>
      <c r="HXP7" s="24"/>
      <c r="HXQ7" s="24"/>
      <c r="HXR7" s="24"/>
      <c r="HXS7" s="24"/>
      <c r="HXT7" s="24"/>
      <c r="HXU7" s="24"/>
      <c r="HXV7" s="24"/>
      <c r="HXW7" s="24"/>
      <c r="HXX7" s="24"/>
      <c r="HXY7" s="24"/>
      <c r="HXZ7" s="24"/>
      <c r="HYA7" s="24"/>
      <c r="HYB7" s="24"/>
      <c r="HYC7" s="24"/>
      <c r="HYD7" s="24"/>
      <c r="HYE7" s="24"/>
      <c r="HYF7" s="24"/>
      <c r="HYG7" s="24"/>
      <c r="HYH7" s="24"/>
      <c r="HYI7" s="24"/>
      <c r="HYJ7" s="24"/>
      <c r="HYK7" s="24"/>
      <c r="HYL7" s="24"/>
      <c r="HYM7" s="24"/>
      <c r="HYN7" s="24"/>
      <c r="HYO7" s="24"/>
      <c r="HYP7" s="24"/>
      <c r="HYQ7" s="24"/>
      <c r="HYR7" s="24"/>
      <c r="HYS7" s="24"/>
      <c r="HYT7" s="24"/>
      <c r="HYU7" s="24"/>
      <c r="HYV7" s="24"/>
      <c r="HYW7" s="24"/>
      <c r="HYX7" s="24"/>
      <c r="HYY7" s="24"/>
      <c r="HYZ7" s="24"/>
      <c r="HZA7" s="24"/>
      <c r="HZB7" s="24"/>
      <c r="HZC7" s="24"/>
      <c r="HZD7" s="24"/>
      <c r="HZE7" s="24"/>
      <c r="HZF7" s="24"/>
      <c r="HZG7" s="24"/>
      <c r="HZH7" s="24"/>
      <c r="HZI7" s="24"/>
      <c r="HZJ7" s="24"/>
      <c r="HZK7" s="24"/>
      <c r="HZL7" s="24"/>
      <c r="HZM7" s="24"/>
      <c r="HZN7" s="24"/>
      <c r="HZO7" s="24"/>
      <c r="HZP7" s="24"/>
      <c r="HZQ7" s="24"/>
      <c r="HZR7" s="24"/>
      <c r="HZS7" s="24"/>
      <c r="HZT7" s="24"/>
      <c r="HZU7" s="24"/>
      <c r="HZV7" s="24"/>
      <c r="HZW7" s="24"/>
      <c r="HZX7" s="24"/>
      <c r="HZY7" s="24"/>
      <c r="HZZ7" s="24"/>
      <c r="IAA7" s="24"/>
      <c r="IAB7" s="24"/>
      <c r="IAC7" s="24"/>
      <c r="IAD7" s="24"/>
      <c r="IAE7" s="24"/>
      <c r="IAF7" s="24"/>
      <c r="IAG7" s="24"/>
      <c r="IAH7" s="24"/>
      <c r="IAI7" s="24"/>
      <c r="IAJ7" s="24"/>
      <c r="IAK7" s="24"/>
      <c r="IAL7" s="24"/>
      <c r="IAM7" s="24"/>
      <c r="IAN7" s="24"/>
      <c r="IAO7" s="24"/>
      <c r="IAP7" s="24"/>
      <c r="IAQ7" s="24"/>
      <c r="IAR7" s="24"/>
      <c r="IAS7" s="24"/>
      <c r="IAT7" s="24"/>
      <c r="IAU7" s="24"/>
      <c r="IAV7" s="24"/>
      <c r="IAW7" s="24"/>
      <c r="IAX7" s="24"/>
      <c r="IAY7" s="24"/>
      <c r="IAZ7" s="24"/>
      <c r="IBA7" s="24"/>
      <c r="IBB7" s="24"/>
      <c r="IBC7" s="24"/>
      <c r="IBD7" s="24"/>
      <c r="IBE7" s="24"/>
      <c r="IBF7" s="24"/>
      <c r="IBG7" s="24"/>
      <c r="IBH7" s="24"/>
      <c r="IBI7" s="24"/>
      <c r="IBJ7" s="24"/>
      <c r="IBK7" s="24"/>
      <c r="IBL7" s="24"/>
      <c r="IBM7" s="24"/>
      <c r="IBN7" s="24"/>
      <c r="IBO7" s="24"/>
      <c r="IBP7" s="24"/>
      <c r="IBQ7" s="24"/>
      <c r="IBR7" s="24"/>
      <c r="IBS7" s="24"/>
      <c r="IBT7" s="24"/>
      <c r="IBU7" s="24"/>
      <c r="IBV7" s="24"/>
      <c r="IBW7" s="24"/>
      <c r="IBX7" s="24"/>
      <c r="IBY7" s="24"/>
      <c r="IBZ7" s="24"/>
      <c r="ICA7" s="24"/>
      <c r="ICB7" s="24"/>
      <c r="ICC7" s="24"/>
      <c r="ICD7" s="24"/>
      <c r="ICE7" s="24"/>
      <c r="ICF7" s="24"/>
      <c r="ICG7" s="24"/>
      <c r="ICH7" s="24"/>
      <c r="ICI7" s="24"/>
      <c r="ICJ7" s="24"/>
      <c r="ICK7" s="24"/>
      <c r="ICL7" s="24"/>
      <c r="ICM7" s="24"/>
      <c r="ICN7" s="24"/>
      <c r="ICO7" s="24"/>
      <c r="ICP7" s="24"/>
      <c r="ICQ7" s="24"/>
      <c r="ICR7" s="24"/>
      <c r="ICS7" s="24"/>
      <c r="ICT7" s="24"/>
      <c r="ICU7" s="24"/>
      <c r="ICV7" s="24"/>
      <c r="ICW7" s="24"/>
      <c r="ICX7" s="24"/>
      <c r="ICY7" s="24"/>
      <c r="ICZ7" s="24"/>
      <c r="IDA7" s="24"/>
      <c r="IDB7" s="24"/>
      <c r="IDC7" s="24"/>
      <c r="IDD7" s="24"/>
      <c r="IDE7" s="24"/>
      <c r="IDF7" s="24"/>
      <c r="IDG7" s="24"/>
      <c r="IDH7" s="24"/>
      <c r="IDI7" s="24"/>
      <c r="IDJ7" s="24"/>
      <c r="IDK7" s="24"/>
      <c r="IDL7" s="24"/>
      <c r="IDM7" s="24"/>
      <c r="IDN7" s="24"/>
      <c r="IDO7" s="24"/>
      <c r="IDP7" s="24"/>
      <c r="IDQ7" s="24"/>
      <c r="IDR7" s="24"/>
      <c r="IDS7" s="24"/>
      <c r="IDT7" s="24"/>
      <c r="IDU7" s="24"/>
      <c r="IDV7" s="24"/>
      <c r="IDW7" s="24"/>
      <c r="IDX7" s="24"/>
      <c r="IDY7" s="24"/>
      <c r="IDZ7" s="24"/>
      <c r="IEA7" s="24"/>
      <c r="IEB7" s="24"/>
      <c r="IEC7" s="24"/>
      <c r="IED7" s="24"/>
      <c r="IEE7" s="24"/>
      <c r="IEF7" s="24"/>
      <c r="IEG7" s="24"/>
      <c r="IEH7" s="24"/>
      <c r="IEI7" s="24"/>
      <c r="IEJ7" s="24"/>
      <c r="IEK7" s="24"/>
      <c r="IEL7" s="24"/>
      <c r="IEM7" s="24"/>
      <c r="IEN7" s="24"/>
      <c r="IEO7" s="24"/>
      <c r="IEP7" s="24"/>
      <c r="IEQ7" s="24"/>
      <c r="IER7" s="24"/>
      <c r="IES7" s="24"/>
      <c r="IET7" s="24"/>
      <c r="IEU7" s="24"/>
      <c r="IEV7" s="24"/>
      <c r="IEW7" s="24"/>
      <c r="IEX7" s="24"/>
      <c r="IEY7" s="24"/>
      <c r="IEZ7" s="24"/>
      <c r="IFA7" s="24"/>
      <c r="IFB7" s="24"/>
      <c r="IFC7" s="24"/>
      <c r="IFD7" s="24"/>
      <c r="IFE7" s="24"/>
      <c r="IFF7" s="24"/>
      <c r="IFG7" s="24"/>
      <c r="IFH7" s="24"/>
      <c r="IFI7" s="24"/>
      <c r="IFJ7" s="24"/>
      <c r="IFK7" s="24"/>
      <c r="IFL7" s="24"/>
      <c r="IFM7" s="24"/>
      <c r="IFN7" s="24"/>
      <c r="IFO7" s="24"/>
      <c r="IFP7" s="24"/>
      <c r="IFQ7" s="24"/>
      <c r="IFR7" s="24"/>
      <c r="IFS7" s="24"/>
      <c r="IFT7" s="24"/>
      <c r="IFU7" s="24"/>
      <c r="IFV7" s="24"/>
      <c r="IFW7" s="24"/>
      <c r="IFX7" s="24"/>
      <c r="IFY7" s="24"/>
      <c r="IFZ7" s="24"/>
      <c r="IGA7" s="24"/>
      <c r="IGB7" s="24"/>
      <c r="IGC7" s="24"/>
      <c r="IGD7" s="24"/>
      <c r="IGE7" s="24"/>
      <c r="IGF7" s="24"/>
      <c r="IGG7" s="24"/>
      <c r="IGH7" s="24"/>
      <c r="IGI7" s="24"/>
      <c r="IGJ7" s="24"/>
      <c r="IGK7" s="24"/>
      <c r="IGL7" s="24"/>
      <c r="IGM7" s="24"/>
      <c r="IGN7" s="24"/>
      <c r="IGO7" s="24"/>
      <c r="IGP7" s="24"/>
      <c r="IGQ7" s="24"/>
      <c r="IGR7" s="24"/>
      <c r="IGS7" s="24"/>
      <c r="IGT7" s="24"/>
      <c r="IGU7" s="24"/>
      <c r="IGV7" s="24"/>
      <c r="IGW7" s="24"/>
      <c r="IGX7" s="24"/>
      <c r="IGY7" s="24"/>
      <c r="IGZ7" s="24"/>
      <c r="IHA7" s="24"/>
      <c r="IHB7" s="24"/>
      <c r="IHC7" s="24"/>
      <c r="IHD7" s="24"/>
      <c r="IHE7" s="24"/>
      <c r="IHF7" s="24"/>
      <c r="IHG7" s="24"/>
      <c r="IHH7" s="24"/>
      <c r="IHI7" s="24"/>
      <c r="IHJ7" s="24"/>
      <c r="IHK7" s="24"/>
      <c r="IHL7" s="24"/>
      <c r="IHM7" s="24"/>
      <c r="IHN7" s="24"/>
      <c r="IHO7" s="24"/>
      <c r="IHP7" s="24"/>
      <c r="IHQ7" s="24"/>
      <c r="IHR7" s="24"/>
      <c r="IHS7" s="24"/>
      <c r="IHT7" s="24"/>
      <c r="IHU7" s="24"/>
      <c r="IHV7" s="24"/>
      <c r="IHW7" s="24"/>
      <c r="IHX7" s="24"/>
      <c r="IHY7" s="24"/>
      <c r="IHZ7" s="24"/>
      <c r="IIA7" s="24"/>
      <c r="IIB7" s="24"/>
      <c r="IIC7" s="24"/>
      <c r="IID7" s="24"/>
      <c r="IIE7" s="24"/>
      <c r="IIF7" s="24"/>
      <c r="IIG7" s="24"/>
      <c r="IIH7" s="24"/>
      <c r="III7" s="24"/>
      <c r="IIJ7" s="24"/>
      <c r="IIK7" s="24"/>
      <c r="IIL7" s="24"/>
      <c r="IIM7" s="24"/>
      <c r="IIN7" s="24"/>
      <c r="IIO7" s="24"/>
      <c r="IIP7" s="24"/>
      <c r="IIQ7" s="24"/>
      <c r="IIR7" s="24"/>
      <c r="IIS7" s="24"/>
      <c r="IIT7" s="24"/>
      <c r="IIU7" s="24"/>
      <c r="IIV7" s="24"/>
      <c r="IIW7" s="24"/>
      <c r="IIX7" s="24"/>
      <c r="IIY7" s="24"/>
      <c r="IIZ7" s="24"/>
      <c r="IJA7" s="24"/>
      <c r="IJB7" s="24"/>
      <c r="IJC7" s="24"/>
      <c r="IJD7" s="24"/>
      <c r="IJE7" s="24"/>
      <c r="IJF7" s="24"/>
      <c r="IJG7" s="24"/>
      <c r="IJH7" s="24"/>
      <c r="IJI7" s="24"/>
      <c r="IJJ7" s="24"/>
      <c r="IJK7" s="24"/>
      <c r="IJL7" s="24"/>
      <c r="IJM7" s="24"/>
      <c r="IJN7" s="24"/>
      <c r="IJO7" s="24"/>
      <c r="IJP7" s="24"/>
      <c r="IJQ7" s="24"/>
      <c r="IJR7" s="24"/>
      <c r="IJS7" s="24"/>
      <c r="IJT7" s="24"/>
      <c r="IJU7" s="24"/>
      <c r="IJV7" s="24"/>
      <c r="IJW7" s="24"/>
      <c r="IJX7" s="24"/>
      <c r="IJY7" s="24"/>
      <c r="IJZ7" s="24"/>
      <c r="IKA7" s="24"/>
      <c r="IKB7" s="24"/>
      <c r="IKC7" s="24"/>
      <c r="IKD7" s="24"/>
      <c r="IKE7" s="24"/>
      <c r="IKF7" s="24"/>
      <c r="IKG7" s="24"/>
      <c r="IKH7" s="24"/>
      <c r="IKI7" s="24"/>
      <c r="IKJ7" s="24"/>
      <c r="IKK7" s="24"/>
      <c r="IKL7" s="24"/>
      <c r="IKM7" s="24"/>
      <c r="IKN7" s="24"/>
      <c r="IKO7" s="24"/>
      <c r="IKP7" s="24"/>
      <c r="IKQ7" s="24"/>
      <c r="IKR7" s="24"/>
      <c r="IKS7" s="24"/>
      <c r="IKT7" s="24"/>
      <c r="IKU7" s="24"/>
      <c r="IKV7" s="24"/>
      <c r="IKW7" s="24"/>
      <c r="IKX7" s="24"/>
      <c r="IKY7" s="24"/>
      <c r="IKZ7" s="24"/>
      <c r="ILA7" s="24"/>
      <c r="ILB7" s="24"/>
      <c r="ILC7" s="24"/>
      <c r="ILD7" s="24"/>
      <c r="ILE7" s="24"/>
      <c r="ILF7" s="24"/>
      <c r="ILG7" s="24"/>
      <c r="ILH7" s="24"/>
      <c r="ILI7" s="24"/>
      <c r="ILJ7" s="24"/>
      <c r="ILK7" s="24"/>
      <c r="ILL7" s="24"/>
      <c r="ILM7" s="24"/>
      <c r="ILN7" s="24"/>
      <c r="ILO7" s="24"/>
      <c r="ILP7" s="24"/>
      <c r="ILQ7" s="24"/>
      <c r="ILR7" s="24"/>
      <c r="ILS7" s="24"/>
      <c r="ILT7" s="24"/>
      <c r="ILU7" s="24"/>
      <c r="ILV7" s="24"/>
      <c r="ILW7" s="24"/>
      <c r="ILX7" s="24"/>
      <c r="ILY7" s="24"/>
      <c r="ILZ7" s="24"/>
      <c r="IMA7" s="24"/>
      <c r="IMB7" s="24"/>
      <c r="IMC7" s="24"/>
      <c r="IMD7" s="24"/>
      <c r="IME7" s="24"/>
      <c r="IMF7" s="24"/>
      <c r="IMG7" s="24"/>
      <c r="IMH7" s="24"/>
      <c r="IMI7" s="24"/>
      <c r="IMJ7" s="24"/>
      <c r="IMK7" s="24"/>
      <c r="IML7" s="24"/>
      <c r="IMM7" s="24"/>
      <c r="IMN7" s="24"/>
      <c r="IMO7" s="24"/>
      <c r="IMP7" s="24"/>
      <c r="IMQ7" s="24"/>
      <c r="IMR7" s="24"/>
      <c r="IMS7" s="24"/>
      <c r="IMT7" s="24"/>
      <c r="IMU7" s="24"/>
      <c r="IMV7" s="24"/>
      <c r="IMW7" s="24"/>
      <c r="IMX7" s="24"/>
      <c r="IMY7" s="24"/>
      <c r="IMZ7" s="24"/>
      <c r="INA7" s="24"/>
      <c r="INB7" s="24"/>
      <c r="INC7" s="24"/>
      <c r="IND7" s="24"/>
      <c r="INE7" s="24"/>
      <c r="INF7" s="24"/>
      <c r="ING7" s="24"/>
      <c r="INH7" s="24"/>
      <c r="INI7" s="24"/>
      <c r="INJ7" s="24"/>
      <c r="INK7" s="24"/>
      <c r="INL7" s="24"/>
      <c r="INM7" s="24"/>
      <c r="INN7" s="24"/>
      <c r="INO7" s="24"/>
      <c r="INP7" s="24"/>
      <c r="INQ7" s="24"/>
      <c r="INR7" s="24"/>
      <c r="INS7" s="24"/>
      <c r="INT7" s="24"/>
      <c r="INU7" s="24"/>
      <c r="INV7" s="24"/>
      <c r="INW7" s="24"/>
      <c r="INX7" s="24"/>
      <c r="INY7" s="24"/>
      <c r="INZ7" s="24"/>
      <c r="IOA7" s="24"/>
      <c r="IOB7" s="24"/>
      <c r="IOC7" s="24"/>
      <c r="IOD7" s="24"/>
      <c r="IOE7" s="24"/>
      <c r="IOF7" s="24"/>
      <c r="IOG7" s="24"/>
      <c r="IOH7" s="24"/>
      <c r="IOI7" s="24"/>
      <c r="IOJ7" s="24"/>
      <c r="IOK7" s="24"/>
      <c r="IOL7" s="24"/>
      <c r="IOM7" s="24"/>
      <c r="ION7" s="24"/>
      <c r="IOO7" s="24"/>
      <c r="IOP7" s="24"/>
      <c r="IOQ7" s="24"/>
      <c r="IOR7" s="24"/>
      <c r="IOS7" s="24"/>
      <c r="IOT7" s="24"/>
      <c r="IOU7" s="24"/>
      <c r="IOV7" s="24"/>
      <c r="IOW7" s="24"/>
      <c r="IOX7" s="24"/>
      <c r="IOY7" s="24"/>
      <c r="IOZ7" s="24"/>
      <c r="IPA7" s="24"/>
      <c r="IPB7" s="24"/>
      <c r="IPC7" s="24"/>
      <c r="IPD7" s="24"/>
      <c r="IPE7" s="24"/>
      <c r="IPF7" s="24"/>
      <c r="IPG7" s="24"/>
      <c r="IPH7" s="24"/>
      <c r="IPI7" s="24"/>
      <c r="IPJ7" s="24"/>
      <c r="IPK7" s="24"/>
      <c r="IPL7" s="24"/>
      <c r="IPM7" s="24"/>
      <c r="IPN7" s="24"/>
      <c r="IPO7" s="24"/>
      <c r="IPP7" s="24"/>
      <c r="IPQ7" s="24"/>
      <c r="IPR7" s="24"/>
      <c r="IPS7" s="24"/>
      <c r="IPT7" s="24"/>
      <c r="IPU7" s="24"/>
      <c r="IPV7" s="24"/>
      <c r="IPW7" s="24"/>
      <c r="IPX7" s="24"/>
      <c r="IPY7" s="24"/>
      <c r="IPZ7" s="24"/>
      <c r="IQA7" s="24"/>
      <c r="IQB7" s="24"/>
      <c r="IQC7" s="24"/>
      <c r="IQD7" s="24"/>
      <c r="IQE7" s="24"/>
      <c r="IQF7" s="24"/>
      <c r="IQG7" s="24"/>
      <c r="IQH7" s="24"/>
      <c r="IQI7" s="24"/>
      <c r="IQJ7" s="24"/>
      <c r="IQK7" s="24"/>
      <c r="IQL7" s="24"/>
      <c r="IQM7" s="24"/>
      <c r="IQN7" s="24"/>
      <c r="IQO7" s="24"/>
      <c r="IQP7" s="24"/>
      <c r="IQQ7" s="24"/>
      <c r="IQR7" s="24"/>
      <c r="IQS7" s="24"/>
      <c r="IQT7" s="24"/>
      <c r="IQU7" s="24"/>
      <c r="IQV7" s="24"/>
      <c r="IQW7" s="24"/>
      <c r="IQX7" s="24"/>
      <c r="IQY7" s="24"/>
      <c r="IQZ7" s="24"/>
      <c r="IRA7" s="24"/>
      <c r="IRB7" s="24"/>
      <c r="IRC7" s="24"/>
      <c r="IRD7" s="24"/>
      <c r="IRE7" s="24"/>
      <c r="IRF7" s="24"/>
      <c r="IRG7" s="24"/>
      <c r="IRH7" s="24"/>
      <c r="IRI7" s="24"/>
      <c r="IRJ7" s="24"/>
      <c r="IRK7" s="24"/>
      <c r="IRL7" s="24"/>
      <c r="IRM7" s="24"/>
      <c r="IRN7" s="24"/>
      <c r="IRO7" s="24"/>
      <c r="IRP7" s="24"/>
      <c r="IRQ7" s="24"/>
      <c r="IRR7" s="24"/>
      <c r="IRS7" s="24"/>
      <c r="IRT7" s="24"/>
      <c r="IRU7" s="24"/>
      <c r="IRV7" s="24"/>
      <c r="IRW7" s="24"/>
      <c r="IRX7" s="24"/>
      <c r="IRY7" s="24"/>
      <c r="IRZ7" s="24"/>
      <c r="ISA7" s="24"/>
      <c r="ISB7" s="24"/>
      <c r="ISC7" s="24"/>
      <c r="ISD7" s="24"/>
      <c r="ISE7" s="24"/>
      <c r="ISF7" s="24"/>
      <c r="ISG7" s="24"/>
      <c r="ISH7" s="24"/>
      <c r="ISI7" s="24"/>
      <c r="ISJ7" s="24"/>
      <c r="ISK7" s="24"/>
      <c r="ISL7" s="24"/>
      <c r="ISM7" s="24"/>
      <c r="ISN7" s="24"/>
      <c r="ISO7" s="24"/>
      <c r="ISP7" s="24"/>
      <c r="ISQ7" s="24"/>
      <c r="ISR7" s="24"/>
      <c r="ISS7" s="24"/>
      <c r="IST7" s="24"/>
      <c r="ISU7" s="24"/>
      <c r="ISV7" s="24"/>
      <c r="ISW7" s="24"/>
      <c r="ISX7" s="24"/>
      <c r="ISY7" s="24"/>
      <c r="ISZ7" s="24"/>
      <c r="ITA7" s="24"/>
      <c r="ITB7" s="24"/>
      <c r="ITC7" s="24"/>
      <c r="ITD7" s="24"/>
      <c r="ITE7" s="24"/>
      <c r="ITF7" s="24"/>
      <c r="ITG7" s="24"/>
      <c r="ITH7" s="24"/>
      <c r="ITI7" s="24"/>
      <c r="ITJ7" s="24"/>
      <c r="ITK7" s="24"/>
      <c r="ITL7" s="24"/>
      <c r="ITM7" s="24"/>
      <c r="ITN7" s="24"/>
      <c r="ITO7" s="24"/>
      <c r="ITP7" s="24"/>
      <c r="ITQ7" s="24"/>
      <c r="ITR7" s="24"/>
      <c r="ITS7" s="24"/>
      <c r="ITT7" s="24"/>
      <c r="ITU7" s="24"/>
      <c r="ITV7" s="24"/>
      <c r="ITW7" s="24"/>
      <c r="ITX7" s="24"/>
      <c r="ITY7" s="24"/>
      <c r="ITZ7" s="24"/>
      <c r="IUA7" s="24"/>
      <c r="IUB7" s="24"/>
      <c r="IUC7" s="24"/>
      <c r="IUD7" s="24"/>
      <c r="IUE7" s="24"/>
      <c r="IUF7" s="24"/>
      <c r="IUG7" s="24"/>
      <c r="IUH7" s="24"/>
      <c r="IUI7" s="24"/>
      <c r="IUJ7" s="24"/>
      <c r="IUK7" s="24"/>
      <c r="IUL7" s="24"/>
      <c r="IUM7" s="24"/>
      <c r="IUN7" s="24"/>
      <c r="IUO7" s="24"/>
      <c r="IUP7" s="24"/>
      <c r="IUQ7" s="24"/>
      <c r="IUR7" s="24"/>
      <c r="IUS7" s="24"/>
      <c r="IUT7" s="24"/>
      <c r="IUU7" s="24"/>
      <c r="IUV7" s="24"/>
      <c r="IUW7" s="24"/>
      <c r="IUX7" s="24"/>
      <c r="IUY7" s="24"/>
      <c r="IUZ7" s="24"/>
      <c r="IVA7" s="24"/>
      <c r="IVB7" s="24"/>
      <c r="IVC7" s="24"/>
      <c r="IVD7" s="24"/>
      <c r="IVE7" s="24"/>
      <c r="IVF7" s="24"/>
      <c r="IVG7" s="24"/>
      <c r="IVH7" s="24"/>
      <c r="IVI7" s="24"/>
      <c r="IVJ7" s="24"/>
      <c r="IVK7" s="24"/>
      <c r="IVL7" s="24"/>
      <c r="IVM7" s="24"/>
      <c r="IVN7" s="24"/>
      <c r="IVO7" s="24"/>
      <c r="IVP7" s="24"/>
      <c r="IVQ7" s="24"/>
      <c r="IVR7" s="24"/>
      <c r="IVS7" s="24"/>
      <c r="IVT7" s="24"/>
      <c r="IVU7" s="24"/>
      <c r="IVV7" s="24"/>
      <c r="IVW7" s="24"/>
      <c r="IVX7" s="24"/>
      <c r="IVY7" s="24"/>
      <c r="IVZ7" s="24"/>
      <c r="IWA7" s="24"/>
      <c r="IWB7" s="24"/>
      <c r="IWC7" s="24"/>
      <c r="IWD7" s="24"/>
      <c r="IWE7" s="24"/>
      <c r="IWF7" s="24"/>
      <c r="IWG7" s="24"/>
      <c r="IWH7" s="24"/>
      <c r="IWI7" s="24"/>
      <c r="IWJ7" s="24"/>
      <c r="IWK7" s="24"/>
      <c r="IWL7" s="24"/>
      <c r="IWM7" s="24"/>
      <c r="IWN7" s="24"/>
      <c r="IWO7" s="24"/>
      <c r="IWP7" s="24"/>
      <c r="IWQ7" s="24"/>
      <c r="IWR7" s="24"/>
      <c r="IWS7" s="24"/>
      <c r="IWT7" s="24"/>
      <c r="IWU7" s="24"/>
      <c r="IWV7" s="24"/>
      <c r="IWW7" s="24"/>
      <c r="IWX7" s="24"/>
      <c r="IWY7" s="24"/>
      <c r="IWZ7" s="24"/>
      <c r="IXA7" s="24"/>
      <c r="IXB7" s="24"/>
      <c r="IXC7" s="24"/>
      <c r="IXD7" s="24"/>
      <c r="IXE7" s="24"/>
      <c r="IXF7" s="24"/>
      <c r="IXG7" s="24"/>
      <c r="IXH7" s="24"/>
      <c r="IXI7" s="24"/>
      <c r="IXJ7" s="24"/>
      <c r="IXK7" s="24"/>
      <c r="IXL7" s="24"/>
      <c r="IXM7" s="24"/>
      <c r="IXN7" s="24"/>
      <c r="IXO7" s="24"/>
      <c r="IXP7" s="24"/>
      <c r="IXQ7" s="24"/>
      <c r="IXR7" s="24"/>
      <c r="IXS7" s="24"/>
      <c r="IXT7" s="24"/>
      <c r="IXU7" s="24"/>
      <c r="IXV7" s="24"/>
      <c r="IXW7" s="24"/>
      <c r="IXX7" s="24"/>
      <c r="IXY7" s="24"/>
      <c r="IXZ7" s="24"/>
      <c r="IYA7" s="24"/>
      <c r="IYB7" s="24"/>
      <c r="IYC7" s="24"/>
      <c r="IYD7" s="24"/>
      <c r="IYE7" s="24"/>
      <c r="IYF7" s="24"/>
      <c r="IYG7" s="24"/>
      <c r="IYH7" s="24"/>
      <c r="IYI7" s="24"/>
      <c r="IYJ7" s="24"/>
      <c r="IYK7" s="24"/>
      <c r="IYL7" s="24"/>
      <c r="IYM7" s="24"/>
      <c r="IYN7" s="24"/>
      <c r="IYO7" s="24"/>
      <c r="IYP7" s="24"/>
      <c r="IYQ7" s="24"/>
      <c r="IYR7" s="24"/>
      <c r="IYS7" s="24"/>
      <c r="IYT7" s="24"/>
      <c r="IYU7" s="24"/>
      <c r="IYV7" s="24"/>
      <c r="IYW7" s="24"/>
      <c r="IYX7" s="24"/>
      <c r="IYY7" s="24"/>
      <c r="IYZ7" s="24"/>
      <c r="IZA7" s="24"/>
      <c r="IZB7" s="24"/>
      <c r="IZC7" s="24"/>
      <c r="IZD7" s="24"/>
      <c r="IZE7" s="24"/>
      <c r="IZF7" s="24"/>
      <c r="IZG7" s="24"/>
      <c r="IZH7" s="24"/>
      <c r="IZI7" s="24"/>
      <c r="IZJ7" s="24"/>
      <c r="IZK7" s="24"/>
      <c r="IZL7" s="24"/>
      <c r="IZM7" s="24"/>
      <c r="IZN7" s="24"/>
      <c r="IZO7" s="24"/>
      <c r="IZP7" s="24"/>
      <c r="IZQ7" s="24"/>
      <c r="IZR7" s="24"/>
      <c r="IZS7" s="24"/>
      <c r="IZT7" s="24"/>
      <c r="IZU7" s="24"/>
      <c r="IZV7" s="24"/>
      <c r="IZW7" s="24"/>
      <c r="IZX7" s="24"/>
      <c r="IZY7" s="24"/>
      <c r="IZZ7" s="24"/>
      <c r="JAA7" s="24"/>
      <c r="JAB7" s="24"/>
      <c r="JAC7" s="24"/>
      <c r="JAD7" s="24"/>
      <c r="JAE7" s="24"/>
      <c r="JAF7" s="24"/>
      <c r="JAG7" s="24"/>
      <c r="JAH7" s="24"/>
      <c r="JAI7" s="24"/>
      <c r="JAJ7" s="24"/>
      <c r="JAK7" s="24"/>
      <c r="JAL7" s="24"/>
      <c r="JAM7" s="24"/>
      <c r="JAN7" s="24"/>
      <c r="JAO7" s="24"/>
      <c r="JAP7" s="24"/>
      <c r="JAQ7" s="24"/>
      <c r="JAR7" s="24"/>
      <c r="JAS7" s="24"/>
      <c r="JAT7" s="24"/>
      <c r="JAU7" s="24"/>
      <c r="JAV7" s="24"/>
      <c r="JAW7" s="24"/>
      <c r="JAX7" s="24"/>
      <c r="JAY7" s="24"/>
      <c r="JAZ7" s="24"/>
      <c r="JBA7" s="24"/>
      <c r="JBB7" s="24"/>
      <c r="JBC7" s="24"/>
      <c r="JBD7" s="24"/>
      <c r="JBE7" s="24"/>
      <c r="JBF7" s="24"/>
      <c r="JBG7" s="24"/>
      <c r="JBH7" s="24"/>
      <c r="JBI7" s="24"/>
      <c r="JBJ7" s="24"/>
      <c r="JBK7" s="24"/>
      <c r="JBL7" s="24"/>
      <c r="JBM7" s="24"/>
      <c r="JBN7" s="24"/>
      <c r="JBO7" s="24"/>
      <c r="JBP7" s="24"/>
      <c r="JBQ7" s="24"/>
      <c r="JBR7" s="24"/>
      <c r="JBS7" s="24"/>
      <c r="JBT7" s="24"/>
      <c r="JBU7" s="24"/>
      <c r="JBV7" s="24"/>
      <c r="JBW7" s="24"/>
      <c r="JBX7" s="24"/>
      <c r="JBY7" s="24"/>
      <c r="JBZ7" s="24"/>
      <c r="JCA7" s="24"/>
      <c r="JCB7" s="24"/>
      <c r="JCC7" s="24"/>
      <c r="JCD7" s="24"/>
      <c r="JCE7" s="24"/>
      <c r="JCF7" s="24"/>
      <c r="JCG7" s="24"/>
      <c r="JCH7" s="24"/>
      <c r="JCI7" s="24"/>
      <c r="JCJ7" s="24"/>
      <c r="JCK7" s="24"/>
      <c r="JCL7" s="24"/>
      <c r="JCM7" s="24"/>
      <c r="JCN7" s="24"/>
      <c r="JCO7" s="24"/>
      <c r="JCP7" s="24"/>
      <c r="JCQ7" s="24"/>
      <c r="JCR7" s="24"/>
      <c r="JCS7" s="24"/>
      <c r="JCT7" s="24"/>
      <c r="JCU7" s="24"/>
      <c r="JCV7" s="24"/>
      <c r="JCW7" s="24"/>
      <c r="JCX7" s="24"/>
      <c r="JCY7" s="24"/>
      <c r="JCZ7" s="24"/>
      <c r="JDA7" s="24"/>
      <c r="JDB7" s="24"/>
      <c r="JDC7" s="24"/>
      <c r="JDD7" s="24"/>
      <c r="JDE7" s="24"/>
      <c r="JDF7" s="24"/>
      <c r="JDG7" s="24"/>
      <c r="JDH7" s="24"/>
      <c r="JDI7" s="24"/>
      <c r="JDJ7" s="24"/>
      <c r="JDK7" s="24"/>
      <c r="JDL7" s="24"/>
      <c r="JDM7" s="24"/>
      <c r="JDN7" s="24"/>
      <c r="JDO7" s="24"/>
      <c r="JDP7" s="24"/>
      <c r="JDQ7" s="24"/>
      <c r="JDR7" s="24"/>
      <c r="JDS7" s="24"/>
      <c r="JDT7" s="24"/>
      <c r="JDU7" s="24"/>
      <c r="JDV7" s="24"/>
      <c r="JDW7" s="24"/>
      <c r="JDX7" s="24"/>
      <c r="JDY7" s="24"/>
      <c r="JDZ7" s="24"/>
      <c r="JEA7" s="24"/>
      <c r="JEB7" s="24"/>
      <c r="JEC7" s="24"/>
      <c r="JED7" s="24"/>
      <c r="JEE7" s="24"/>
      <c r="JEF7" s="24"/>
      <c r="JEG7" s="24"/>
      <c r="JEH7" s="24"/>
      <c r="JEI7" s="24"/>
      <c r="JEJ7" s="24"/>
      <c r="JEK7" s="24"/>
      <c r="JEL7" s="24"/>
      <c r="JEM7" s="24"/>
      <c r="JEN7" s="24"/>
      <c r="JEO7" s="24"/>
      <c r="JEP7" s="24"/>
      <c r="JEQ7" s="24"/>
      <c r="JER7" s="24"/>
      <c r="JES7" s="24"/>
      <c r="JET7" s="24"/>
      <c r="JEU7" s="24"/>
      <c r="JEV7" s="24"/>
      <c r="JEW7" s="24"/>
      <c r="JEX7" s="24"/>
      <c r="JEY7" s="24"/>
      <c r="JEZ7" s="24"/>
      <c r="JFA7" s="24"/>
      <c r="JFB7" s="24"/>
      <c r="JFC7" s="24"/>
      <c r="JFD7" s="24"/>
      <c r="JFE7" s="24"/>
      <c r="JFF7" s="24"/>
      <c r="JFG7" s="24"/>
      <c r="JFH7" s="24"/>
      <c r="JFI7" s="24"/>
      <c r="JFJ7" s="24"/>
      <c r="JFK7" s="24"/>
      <c r="JFL7" s="24"/>
      <c r="JFM7" s="24"/>
      <c r="JFN7" s="24"/>
      <c r="JFO7" s="24"/>
      <c r="JFP7" s="24"/>
      <c r="JFQ7" s="24"/>
      <c r="JFR7" s="24"/>
      <c r="JFS7" s="24"/>
      <c r="JFT7" s="24"/>
      <c r="JFU7" s="24"/>
      <c r="JFV7" s="24"/>
      <c r="JFW7" s="24"/>
      <c r="JFX7" s="24"/>
      <c r="JFY7" s="24"/>
      <c r="JFZ7" s="24"/>
      <c r="JGA7" s="24"/>
      <c r="JGB7" s="24"/>
      <c r="JGC7" s="24"/>
      <c r="JGD7" s="24"/>
      <c r="JGE7" s="24"/>
      <c r="JGF7" s="24"/>
      <c r="JGG7" s="24"/>
      <c r="JGH7" s="24"/>
      <c r="JGI7" s="24"/>
      <c r="JGJ7" s="24"/>
      <c r="JGK7" s="24"/>
      <c r="JGL7" s="24"/>
      <c r="JGM7" s="24"/>
      <c r="JGN7" s="24"/>
      <c r="JGO7" s="24"/>
      <c r="JGP7" s="24"/>
      <c r="JGQ7" s="24"/>
      <c r="JGR7" s="24"/>
      <c r="JGS7" s="24"/>
      <c r="JGT7" s="24"/>
      <c r="JGU7" s="24"/>
      <c r="JGV7" s="24"/>
      <c r="JGW7" s="24"/>
      <c r="JGX7" s="24"/>
      <c r="JGY7" s="24"/>
      <c r="JGZ7" s="24"/>
      <c r="JHA7" s="24"/>
      <c r="JHB7" s="24"/>
      <c r="JHC7" s="24"/>
      <c r="JHD7" s="24"/>
      <c r="JHE7" s="24"/>
      <c r="JHF7" s="24"/>
      <c r="JHG7" s="24"/>
      <c r="JHH7" s="24"/>
      <c r="JHI7" s="24"/>
      <c r="JHJ7" s="24"/>
      <c r="JHK7" s="24"/>
      <c r="JHL7" s="24"/>
      <c r="JHM7" s="24"/>
      <c r="JHN7" s="24"/>
      <c r="JHO7" s="24"/>
      <c r="JHP7" s="24"/>
      <c r="JHQ7" s="24"/>
      <c r="JHR7" s="24"/>
      <c r="JHS7" s="24"/>
      <c r="JHT7" s="24"/>
      <c r="JHU7" s="24"/>
      <c r="JHV7" s="24"/>
      <c r="JHW7" s="24"/>
      <c r="JHX7" s="24"/>
      <c r="JHY7" s="24"/>
      <c r="JHZ7" s="24"/>
      <c r="JIA7" s="24"/>
      <c r="JIB7" s="24"/>
      <c r="JIC7" s="24"/>
      <c r="JID7" s="24"/>
      <c r="JIE7" s="24"/>
      <c r="JIF7" s="24"/>
      <c r="JIG7" s="24"/>
      <c r="JIH7" s="24"/>
      <c r="JII7" s="24"/>
      <c r="JIJ7" s="24"/>
      <c r="JIK7" s="24"/>
      <c r="JIL7" s="24"/>
      <c r="JIM7" s="24"/>
      <c r="JIN7" s="24"/>
      <c r="JIO7" s="24"/>
      <c r="JIP7" s="24"/>
      <c r="JIQ7" s="24"/>
      <c r="JIR7" s="24"/>
      <c r="JIS7" s="24"/>
      <c r="JIT7" s="24"/>
      <c r="JIU7" s="24"/>
      <c r="JIV7" s="24"/>
      <c r="JIW7" s="24"/>
      <c r="JIX7" s="24"/>
      <c r="JIY7" s="24"/>
      <c r="JIZ7" s="24"/>
      <c r="JJA7" s="24"/>
      <c r="JJB7" s="24"/>
      <c r="JJC7" s="24"/>
      <c r="JJD7" s="24"/>
      <c r="JJE7" s="24"/>
      <c r="JJF7" s="24"/>
      <c r="JJG7" s="24"/>
      <c r="JJH7" s="24"/>
      <c r="JJI7" s="24"/>
      <c r="JJJ7" s="24"/>
      <c r="JJK7" s="24"/>
      <c r="JJL7" s="24"/>
      <c r="JJM7" s="24"/>
      <c r="JJN7" s="24"/>
      <c r="JJO7" s="24"/>
      <c r="JJP7" s="24"/>
      <c r="JJQ7" s="24"/>
      <c r="JJR7" s="24"/>
      <c r="JJS7" s="24"/>
      <c r="JJT7" s="24"/>
      <c r="JJU7" s="24"/>
      <c r="JJV7" s="24"/>
      <c r="JJW7" s="24"/>
      <c r="JJX7" s="24"/>
      <c r="JJY7" s="24"/>
      <c r="JJZ7" s="24"/>
      <c r="JKA7" s="24"/>
      <c r="JKB7" s="24"/>
      <c r="JKC7" s="24"/>
      <c r="JKD7" s="24"/>
      <c r="JKE7" s="24"/>
      <c r="JKF7" s="24"/>
      <c r="JKG7" s="24"/>
      <c r="JKH7" s="24"/>
      <c r="JKI7" s="24"/>
      <c r="JKJ7" s="24"/>
      <c r="JKK7" s="24"/>
      <c r="JKL7" s="24"/>
      <c r="JKM7" s="24"/>
      <c r="JKN7" s="24"/>
      <c r="JKO7" s="24"/>
      <c r="JKP7" s="24"/>
      <c r="JKQ7" s="24"/>
      <c r="JKR7" s="24"/>
      <c r="JKS7" s="24"/>
      <c r="JKT7" s="24"/>
      <c r="JKU7" s="24"/>
      <c r="JKV7" s="24"/>
      <c r="JKW7" s="24"/>
      <c r="JKX7" s="24"/>
      <c r="JKY7" s="24"/>
      <c r="JKZ7" s="24"/>
      <c r="JLA7" s="24"/>
      <c r="JLB7" s="24"/>
      <c r="JLC7" s="24"/>
      <c r="JLD7" s="24"/>
      <c r="JLE7" s="24"/>
      <c r="JLF7" s="24"/>
      <c r="JLG7" s="24"/>
      <c r="JLH7" s="24"/>
      <c r="JLI7" s="24"/>
      <c r="JLJ7" s="24"/>
      <c r="JLK7" s="24"/>
      <c r="JLL7" s="24"/>
      <c r="JLM7" s="24"/>
      <c r="JLN7" s="24"/>
      <c r="JLO7" s="24"/>
      <c r="JLP7" s="24"/>
      <c r="JLQ7" s="24"/>
      <c r="JLR7" s="24"/>
      <c r="JLS7" s="24"/>
      <c r="JLT7" s="24"/>
      <c r="JLU7" s="24"/>
      <c r="JLV7" s="24"/>
      <c r="JLW7" s="24"/>
      <c r="JLX7" s="24"/>
      <c r="JLY7" s="24"/>
      <c r="JLZ7" s="24"/>
      <c r="JMA7" s="24"/>
      <c r="JMB7" s="24"/>
      <c r="JMC7" s="24"/>
      <c r="JMD7" s="24"/>
      <c r="JME7" s="24"/>
      <c r="JMF7" s="24"/>
      <c r="JMG7" s="24"/>
      <c r="JMH7" s="24"/>
      <c r="JMI7" s="24"/>
      <c r="JMJ7" s="24"/>
      <c r="JMK7" s="24"/>
      <c r="JML7" s="24"/>
      <c r="JMM7" s="24"/>
      <c r="JMN7" s="24"/>
      <c r="JMO7" s="24"/>
      <c r="JMP7" s="24"/>
      <c r="JMQ7" s="24"/>
      <c r="JMR7" s="24"/>
      <c r="JMS7" s="24"/>
      <c r="JMT7" s="24"/>
      <c r="JMU7" s="24"/>
      <c r="JMV7" s="24"/>
      <c r="JMW7" s="24"/>
      <c r="JMX7" s="24"/>
      <c r="JMY7" s="24"/>
      <c r="JMZ7" s="24"/>
      <c r="JNA7" s="24"/>
      <c r="JNB7" s="24"/>
      <c r="JNC7" s="24"/>
      <c r="JND7" s="24"/>
      <c r="JNE7" s="24"/>
      <c r="JNF7" s="24"/>
      <c r="JNG7" s="24"/>
      <c r="JNH7" s="24"/>
      <c r="JNI7" s="24"/>
      <c r="JNJ7" s="24"/>
      <c r="JNK7" s="24"/>
      <c r="JNL7" s="24"/>
      <c r="JNM7" s="24"/>
      <c r="JNN7" s="24"/>
      <c r="JNO7" s="24"/>
      <c r="JNP7" s="24"/>
      <c r="JNQ7" s="24"/>
      <c r="JNR7" s="24"/>
      <c r="JNS7" s="24"/>
      <c r="JNT7" s="24"/>
      <c r="JNU7" s="24"/>
      <c r="JNV7" s="24"/>
      <c r="JNW7" s="24"/>
      <c r="JNX7" s="24"/>
      <c r="JNY7" s="24"/>
      <c r="JNZ7" s="24"/>
      <c r="JOA7" s="24"/>
      <c r="JOB7" s="24"/>
      <c r="JOC7" s="24"/>
      <c r="JOD7" s="24"/>
      <c r="JOE7" s="24"/>
      <c r="JOF7" s="24"/>
      <c r="JOG7" s="24"/>
      <c r="JOH7" s="24"/>
      <c r="JOI7" s="24"/>
      <c r="JOJ7" s="24"/>
      <c r="JOK7" s="24"/>
      <c r="JOL7" s="24"/>
      <c r="JOM7" s="24"/>
      <c r="JON7" s="24"/>
      <c r="JOO7" s="24"/>
      <c r="JOP7" s="24"/>
      <c r="JOQ7" s="24"/>
      <c r="JOR7" s="24"/>
      <c r="JOS7" s="24"/>
      <c r="JOT7" s="24"/>
      <c r="JOU7" s="24"/>
      <c r="JOV7" s="24"/>
      <c r="JOW7" s="24"/>
      <c r="JOX7" s="24"/>
      <c r="JOY7" s="24"/>
      <c r="JOZ7" s="24"/>
      <c r="JPA7" s="24"/>
      <c r="JPB7" s="24"/>
      <c r="JPC7" s="24"/>
      <c r="JPD7" s="24"/>
      <c r="JPE7" s="24"/>
      <c r="JPF7" s="24"/>
      <c r="JPG7" s="24"/>
      <c r="JPH7" s="24"/>
      <c r="JPI7" s="24"/>
      <c r="JPJ7" s="24"/>
      <c r="JPK7" s="24"/>
      <c r="JPL7" s="24"/>
      <c r="JPM7" s="24"/>
      <c r="JPN7" s="24"/>
      <c r="JPO7" s="24"/>
      <c r="JPP7" s="24"/>
      <c r="JPQ7" s="24"/>
      <c r="JPR7" s="24"/>
      <c r="JPS7" s="24"/>
      <c r="JPT7" s="24"/>
      <c r="JPU7" s="24"/>
      <c r="JPV7" s="24"/>
      <c r="JPW7" s="24"/>
      <c r="JPX7" s="24"/>
      <c r="JPY7" s="24"/>
      <c r="JPZ7" s="24"/>
      <c r="JQA7" s="24"/>
      <c r="JQB7" s="24"/>
      <c r="JQC7" s="24"/>
      <c r="JQD7" s="24"/>
      <c r="JQE7" s="24"/>
      <c r="JQF7" s="24"/>
      <c r="JQG7" s="24"/>
      <c r="JQH7" s="24"/>
      <c r="JQI7" s="24"/>
      <c r="JQJ7" s="24"/>
      <c r="JQK7" s="24"/>
      <c r="JQL7" s="24"/>
      <c r="JQM7" s="24"/>
      <c r="JQN7" s="24"/>
      <c r="JQO7" s="24"/>
      <c r="JQP7" s="24"/>
      <c r="JQQ7" s="24"/>
      <c r="JQR7" s="24"/>
      <c r="JQS7" s="24"/>
      <c r="JQT7" s="24"/>
      <c r="JQU7" s="24"/>
      <c r="JQV7" s="24"/>
      <c r="JQW7" s="24"/>
      <c r="JQX7" s="24"/>
      <c r="JQY7" s="24"/>
      <c r="JQZ7" s="24"/>
      <c r="JRA7" s="24"/>
      <c r="JRB7" s="24"/>
      <c r="JRC7" s="24"/>
      <c r="JRD7" s="24"/>
      <c r="JRE7" s="24"/>
      <c r="JRF7" s="24"/>
      <c r="JRG7" s="24"/>
      <c r="JRH7" s="24"/>
      <c r="JRI7" s="24"/>
      <c r="JRJ7" s="24"/>
      <c r="JRK7" s="24"/>
      <c r="JRL7" s="24"/>
      <c r="JRM7" s="24"/>
      <c r="JRN7" s="24"/>
      <c r="JRO7" s="24"/>
      <c r="JRP7" s="24"/>
      <c r="JRQ7" s="24"/>
      <c r="JRR7" s="24"/>
      <c r="JRS7" s="24"/>
      <c r="JRT7" s="24"/>
      <c r="JRU7" s="24"/>
      <c r="JRV7" s="24"/>
      <c r="JRW7" s="24"/>
      <c r="JRX7" s="24"/>
      <c r="JRY7" s="24"/>
      <c r="JRZ7" s="24"/>
      <c r="JSA7" s="24"/>
      <c r="JSB7" s="24"/>
      <c r="JSC7" s="24"/>
      <c r="JSD7" s="24"/>
      <c r="JSE7" s="24"/>
      <c r="JSF7" s="24"/>
      <c r="JSG7" s="24"/>
      <c r="JSH7" s="24"/>
      <c r="JSI7" s="24"/>
      <c r="JSJ7" s="24"/>
      <c r="JSK7" s="24"/>
      <c r="JSL7" s="24"/>
      <c r="JSM7" s="24"/>
      <c r="JSN7" s="24"/>
      <c r="JSO7" s="24"/>
      <c r="JSP7" s="24"/>
      <c r="JSQ7" s="24"/>
      <c r="JSR7" s="24"/>
      <c r="JSS7" s="24"/>
      <c r="JST7" s="24"/>
      <c r="JSU7" s="24"/>
      <c r="JSV7" s="24"/>
      <c r="JSW7" s="24"/>
      <c r="JSX7" s="24"/>
      <c r="JSY7" s="24"/>
      <c r="JSZ7" s="24"/>
      <c r="JTA7" s="24"/>
      <c r="JTB7" s="24"/>
      <c r="JTC7" s="24"/>
      <c r="JTD7" s="24"/>
      <c r="JTE7" s="24"/>
      <c r="JTF7" s="24"/>
      <c r="JTG7" s="24"/>
      <c r="JTH7" s="24"/>
      <c r="JTI7" s="24"/>
      <c r="JTJ7" s="24"/>
      <c r="JTK7" s="24"/>
      <c r="JTL7" s="24"/>
      <c r="JTM7" s="24"/>
      <c r="JTN7" s="24"/>
      <c r="JTO7" s="24"/>
      <c r="JTP7" s="24"/>
      <c r="JTQ7" s="24"/>
      <c r="JTR7" s="24"/>
      <c r="JTS7" s="24"/>
      <c r="JTT7" s="24"/>
      <c r="JTU7" s="24"/>
      <c r="JTV7" s="24"/>
      <c r="JTW7" s="24"/>
      <c r="JTX7" s="24"/>
      <c r="JTY7" s="24"/>
      <c r="JTZ7" s="24"/>
      <c r="JUA7" s="24"/>
      <c r="JUB7" s="24"/>
      <c r="JUC7" s="24"/>
      <c r="JUD7" s="24"/>
      <c r="JUE7" s="24"/>
      <c r="JUF7" s="24"/>
      <c r="JUG7" s="24"/>
      <c r="JUH7" s="24"/>
      <c r="JUI7" s="24"/>
      <c r="JUJ7" s="24"/>
      <c r="JUK7" s="24"/>
      <c r="JUL7" s="24"/>
      <c r="JUM7" s="24"/>
      <c r="JUN7" s="24"/>
      <c r="JUO7" s="24"/>
      <c r="JUP7" s="24"/>
      <c r="JUQ7" s="24"/>
      <c r="JUR7" s="24"/>
      <c r="JUS7" s="24"/>
      <c r="JUT7" s="24"/>
      <c r="JUU7" s="24"/>
      <c r="JUV7" s="24"/>
      <c r="JUW7" s="24"/>
      <c r="JUX7" s="24"/>
      <c r="JUY7" s="24"/>
      <c r="JUZ7" s="24"/>
      <c r="JVA7" s="24"/>
      <c r="JVB7" s="24"/>
      <c r="JVC7" s="24"/>
      <c r="JVD7" s="24"/>
      <c r="JVE7" s="24"/>
      <c r="JVF7" s="24"/>
      <c r="JVG7" s="24"/>
      <c r="JVH7" s="24"/>
      <c r="JVI7" s="24"/>
      <c r="JVJ7" s="24"/>
      <c r="JVK7" s="24"/>
      <c r="JVL7" s="24"/>
      <c r="JVM7" s="24"/>
      <c r="JVN7" s="24"/>
      <c r="JVO7" s="24"/>
      <c r="JVP7" s="24"/>
      <c r="JVQ7" s="24"/>
      <c r="JVR7" s="24"/>
      <c r="JVS7" s="24"/>
      <c r="JVT7" s="24"/>
      <c r="JVU7" s="24"/>
      <c r="JVV7" s="24"/>
      <c r="JVW7" s="24"/>
      <c r="JVX7" s="24"/>
      <c r="JVY7" s="24"/>
      <c r="JVZ7" s="24"/>
      <c r="JWA7" s="24"/>
      <c r="JWB7" s="24"/>
      <c r="JWC7" s="24"/>
      <c r="JWD7" s="24"/>
      <c r="JWE7" s="24"/>
      <c r="JWF7" s="24"/>
      <c r="JWG7" s="24"/>
      <c r="JWH7" s="24"/>
      <c r="JWI7" s="24"/>
      <c r="JWJ7" s="24"/>
      <c r="JWK7" s="24"/>
      <c r="JWL7" s="24"/>
      <c r="JWM7" s="24"/>
      <c r="JWN7" s="24"/>
      <c r="JWO7" s="24"/>
      <c r="JWP7" s="24"/>
      <c r="JWQ7" s="24"/>
      <c r="JWR7" s="24"/>
      <c r="JWS7" s="24"/>
      <c r="JWT7" s="24"/>
      <c r="JWU7" s="24"/>
      <c r="JWV7" s="24"/>
      <c r="JWW7" s="24"/>
      <c r="JWX7" s="24"/>
      <c r="JWY7" s="24"/>
      <c r="JWZ7" s="24"/>
      <c r="JXA7" s="24"/>
      <c r="JXB7" s="24"/>
      <c r="JXC7" s="24"/>
      <c r="JXD7" s="24"/>
      <c r="JXE7" s="24"/>
      <c r="JXF7" s="24"/>
      <c r="JXG7" s="24"/>
      <c r="JXH7" s="24"/>
      <c r="JXI7" s="24"/>
      <c r="JXJ7" s="24"/>
      <c r="JXK7" s="24"/>
      <c r="JXL7" s="24"/>
      <c r="JXM7" s="24"/>
      <c r="JXN7" s="24"/>
      <c r="JXO7" s="24"/>
      <c r="JXP7" s="24"/>
      <c r="JXQ7" s="24"/>
      <c r="JXR7" s="24"/>
      <c r="JXS7" s="24"/>
      <c r="JXT7" s="24"/>
      <c r="JXU7" s="24"/>
      <c r="JXV7" s="24"/>
      <c r="JXW7" s="24"/>
      <c r="JXX7" s="24"/>
      <c r="JXY7" s="24"/>
      <c r="JXZ7" s="24"/>
      <c r="JYA7" s="24"/>
      <c r="JYB7" s="24"/>
      <c r="JYC7" s="24"/>
      <c r="JYD7" s="24"/>
      <c r="JYE7" s="24"/>
      <c r="JYF7" s="24"/>
      <c r="JYG7" s="24"/>
      <c r="JYH7" s="24"/>
      <c r="JYI7" s="24"/>
      <c r="JYJ7" s="24"/>
      <c r="JYK7" s="24"/>
      <c r="JYL7" s="24"/>
      <c r="JYM7" s="24"/>
      <c r="JYN7" s="24"/>
      <c r="JYO7" s="24"/>
      <c r="JYP7" s="24"/>
      <c r="JYQ7" s="24"/>
      <c r="JYR7" s="24"/>
      <c r="JYS7" s="24"/>
      <c r="JYT7" s="24"/>
      <c r="JYU7" s="24"/>
      <c r="JYV7" s="24"/>
      <c r="JYW7" s="24"/>
      <c r="JYX7" s="24"/>
      <c r="JYY7" s="24"/>
      <c r="JYZ7" s="24"/>
      <c r="JZA7" s="24"/>
      <c r="JZB7" s="24"/>
      <c r="JZC7" s="24"/>
      <c r="JZD7" s="24"/>
      <c r="JZE7" s="24"/>
      <c r="JZF7" s="24"/>
      <c r="JZG7" s="24"/>
      <c r="JZH7" s="24"/>
      <c r="JZI7" s="24"/>
      <c r="JZJ7" s="24"/>
      <c r="JZK7" s="24"/>
      <c r="JZL7" s="24"/>
      <c r="JZM7" s="24"/>
      <c r="JZN7" s="24"/>
      <c r="JZO7" s="24"/>
      <c r="JZP7" s="24"/>
      <c r="JZQ7" s="24"/>
      <c r="JZR7" s="24"/>
      <c r="JZS7" s="24"/>
      <c r="JZT7" s="24"/>
      <c r="JZU7" s="24"/>
      <c r="JZV7" s="24"/>
      <c r="JZW7" s="24"/>
      <c r="JZX7" s="24"/>
      <c r="JZY7" s="24"/>
      <c r="JZZ7" s="24"/>
      <c r="KAA7" s="24"/>
      <c r="KAB7" s="24"/>
      <c r="KAC7" s="24"/>
      <c r="KAD7" s="24"/>
      <c r="KAE7" s="24"/>
      <c r="KAF7" s="24"/>
      <c r="KAG7" s="24"/>
      <c r="KAH7" s="24"/>
      <c r="KAI7" s="24"/>
      <c r="KAJ7" s="24"/>
      <c r="KAK7" s="24"/>
      <c r="KAL7" s="24"/>
      <c r="KAM7" s="24"/>
      <c r="KAN7" s="24"/>
      <c r="KAO7" s="24"/>
      <c r="KAP7" s="24"/>
      <c r="KAQ7" s="24"/>
      <c r="KAR7" s="24"/>
      <c r="KAS7" s="24"/>
      <c r="KAT7" s="24"/>
      <c r="KAU7" s="24"/>
      <c r="KAV7" s="24"/>
      <c r="KAW7" s="24"/>
      <c r="KAX7" s="24"/>
      <c r="KAY7" s="24"/>
      <c r="KAZ7" s="24"/>
      <c r="KBA7" s="24"/>
      <c r="KBB7" s="24"/>
      <c r="KBC7" s="24"/>
      <c r="KBD7" s="24"/>
      <c r="KBE7" s="24"/>
      <c r="KBF7" s="24"/>
      <c r="KBG7" s="24"/>
      <c r="KBH7" s="24"/>
      <c r="KBI7" s="24"/>
      <c r="KBJ7" s="24"/>
      <c r="KBK7" s="24"/>
      <c r="KBL7" s="24"/>
      <c r="KBM7" s="24"/>
      <c r="KBN7" s="24"/>
      <c r="KBO7" s="24"/>
      <c r="KBP7" s="24"/>
      <c r="KBQ7" s="24"/>
      <c r="KBR7" s="24"/>
      <c r="KBS7" s="24"/>
      <c r="KBT7" s="24"/>
      <c r="KBU7" s="24"/>
      <c r="KBV7" s="24"/>
      <c r="KBW7" s="24"/>
      <c r="KBX7" s="24"/>
      <c r="KBY7" s="24"/>
      <c r="KBZ7" s="24"/>
      <c r="KCA7" s="24"/>
      <c r="KCB7" s="24"/>
      <c r="KCC7" s="24"/>
      <c r="KCD7" s="24"/>
      <c r="KCE7" s="24"/>
      <c r="KCF7" s="24"/>
      <c r="KCG7" s="24"/>
      <c r="KCH7" s="24"/>
      <c r="KCI7" s="24"/>
      <c r="KCJ7" s="24"/>
      <c r="KCK7" s="24"/>
      <c r="KCL7" s="24"/>
      <c r="KCM7" s="24"/>
      <c r="KCN7" s="24"/>
      <c r="KCO7" s="24"/>
      <c r="KCP7" s="24"/>
      <c r="KCQ7" s="24"/>
      <c r="KCR7" s="24"/>
      <c r="KCS7" s="24"/>
      <c r="KCT7" s="24"/>
      <c r="KCU7" s="24"/>
      <c r="KCV7" s="24"/>
      <c r="KCW7" s="24"/>
      <c r="KCX7" s="24"/>
      <c r="KCY7" s="24"/>
      <c r="KCZ7" s="24"/>
      <c r="KDA7" s="24"/>
      <c r="KDB7" s="24"/>
      <c r="KDC7" s="24"/>
      <c r="KDD7" s="24"/>
      <c r="KDE7" s="24"/>
      <c r="KDF7" s="24"/>
      <c r="KDG7" s="24"/>
      <c r="KDH7" s="24"/>
      <c r="KDI7" s="24"/>
      <c r="KDJ7" s="24"/>
      <c r="KDK7" s="24"/>
      <c r="KDL7" s="24"/>
      <c r="KDM7" s="24"/>
      <c r="KDN7" s="24"/>
      <c r="KDO7" s="24"/>
      <c r="KDP7" s="24"/>
      <c r="KDQ7" s="24"/>
      <c r="KDR7" s="24"/>
      <c r="KDS7" s="24"/>
      <c r="KDT7" s="24"/>
      <c r="KDU7" s="24"/>
      <c r="KDV7" s="24"/>
      <c r="KDW7" s="24"/>
      <c r="KDX7" s="24"/>
      <c r="KDY7" s="24"/>
      <c r="KDZ7" s="24"/>
      <c r="KEA7" s="24"/>
      <c r="KEB7" s="24"/>
      <c r="KEC7" s="24"/>
      <c r="KED7" s="24"/>
      <c r="KEE7" s="24"/>
      <c r="KEF7" s="24"/>
      <c r="KEG7" s="24"/>
      <c r="KEH7" s="24"/>
      <c r="KEI7" s="24"/>
      <c r="KEJ7" s="24"/>
      <c r="KEK7" s="24"/>
      <c r="KEL7" s="24"/>
      <c r="KEM7" s="24"/>
      <c r="KEN7" s="24"/>
      <c r="KEO7" s="24"/>
      <c r="KEP7" s="24"/>
      <c r="KEQ7" s="24"/>
      <c r="KER7" s="24"/>
      <c r="KES7" s="24"/>
      <c r="KET7" s="24"/>
      <c r="KEU7" s="24"/>
      <c r="KEV7" s="24"/>
      <c r="KEW7" s="24"/>
      <c r="KEX7" s="24"/>
      <c r="KEY7" s="24"/>
      <c r="KEZ7" s="24"/>
      <c r="KFA7" s="24"/>
      <c r="KFB7" s="24"/>
      <c r="KFC7" s="24"/>
      <c r="KFD7" s="24"/>
      <c r="KFE7" s="24"/>
      <c r="KFF7" s="24"/>
      <c r="KFG7" s="24"/>
      <c r="KFH7" s="24"/>
      <c r="KFI7" s="24"/>
      <c r="KFJ7" s="24"/>
      <c r="KFK7" s="24"/>
      <c r="KFL7" s="24"/>
      <c r="KFM7" s="24"/>
      <c r="KFN7" s="24"/>
      <c r="KFO7" s="24"/>
      <c r="KFP7" s="24"/>
      <c r="KFQ7" s="24"/>
      <c r="KFR7" s="24"/>
      <c r="KFS7" s="24"/>
      <c r="KFT7" s="24"/>
      <c r="KFU7" s="24"/>
      <c r="KFV7" s="24"/>
      <c r="KFW7" s="24"/>
      <c r="KFX7" s="24"/>
      <c r="KFY7" s="24"/>
      <c r="KFZ7" s="24"/>
      <c r="KGA7" s="24"/>
      <c r="KGB7" s="24"/>
      <c r="KGC7" s="24"/>
      <c r="KGD7" s="24"/>
      <c r="KGE7" s="24"/>
      <c r="KGF7" s="24"/>
      <c r="KGG7" s="24"/>
      <c r="KGH7" s="24"/>
      <c r="KGI7" s="24"/>
      <c r="KGJ7" s="24"/>
      <c r="KGK7" s="24"/>
      <c r="KGL7" s="24"/>
      <c r="KGM7" s="24"/>
      <c r="KGN7" s="24"/>
      <c r="KGO7" s="24"/>
      <c r="KGP7" s="24"/>
      <c r="KGQ7" s="24"/>
      <c r="KGR7" s="24"/>
      <c r="KGS7" s="24"/>
      <c r="KGT7" s="24"/>
      <c r="KGU7" s="24"/>
      <c r="KGV7" s="24"/>
      <c r="KGW7" s="24"/>
      <c r="KGX7" s="24"/>
      <c r="KGY7" s="24"/>
      <c r="KGZ7" s="24"/>
      <c r="KHA7" s="24"/>
      <c r="KHB7" s="24"/>
      <c r="KHC7" s="24"/>
      <c r="KHD7" s="24"/>
      <c r="KHE7" s="24"/>
      <c r="KHF7" s="24"/>
      <c r="KHG7" s="24"/>
      <c r="KHH7" s="24"/>
      <c r="KHI7" s="24"/>
      <c r="KHJ7" s="24"/>
      <c r="KHK7" s="24"/>
      <c r="KHL7" s="24"/>
      <c r="KHM7" s="24"/>
      <c r="KHN7" s="24"/>
      <c r="KHO7" s="24"/>
      <c r="KHP7" s="24"/>
      <c r="KHQ7" s="24"/>
      <c r="KHR7" s="24"/>
      <c r="KHS7" s="24"/>
      <c r="KHT7" s="24"/>
      <c r="KHU7" s="24"/>
      <c r="KHV7" s="24"/>
      <c r="KHW7" s="24"/>
      <c r="KHX7" s="24"/>
      <c r="KHY7" s="24"/>
      <c r="KHZ7" s="24"/>
      <c r="KIA7" s="24"/>
      <c r="KIB7" s="24"/>
      <c r="KIC7" s="24"/>
      <c r="KID7" s="24"/>
      <c r="KIE7" s="24"/>
      <c r="KIF7" s="24"/>
      <c r="KIG7" s="24"/>
      <c r="KIH7" s="24"/>
      <c r="KII7" s="24"/>
      <c r="KIJ7" s="24"/>
      <c r="KIK7" s="24"/>
      <c r="KIL7" s="24"/>
      <c r="KIM7" s="24"/>
      <c r="KIN7" s="24"/>
      <c r="KIO7" s="24"/>
      <c r="KIP7" s="24"/>
      <c r="KIQ7" s="24"/>
      <c r="KIR7" s="24"/>
      <c r="KIS7" s="24"/>
      <c r="KIT7" s="24"/>
      <c r="KIU7" s="24"/>
      <c r="KIV7" s="24"/>
      <c r="KIW7" s="24"/>
      <c r="KIX7" s="24"/>
      <c r="KIY7" s="24"/>
      <c r="KIZ7" s="24"/>
      <c r="KJA7" s="24"/>
      <c r="KJB7" s="24"/>
      <c r="KJC7" s="24"/>
      <c r="KJD7" s="24"/>
      <c r="KJE7" s="24"/>
      <c r="KJF7" s="24"/>
      <c r="KJG7" s="24"/>
      <c r="KJH7" s="24"/>
      <c r="KJI7" s="24"/>
      <c r="KJJ7" s="24"/>
      <c r="KJK7" s="24"/>
      <c r="KJL7" s="24"/>
      <c r="KJM7" s="24"/>
      <c r="KJN7" s="24"/>
      <c r="KJO7" s="24"/>
      <c r="KJP7" s="24"/>
      <c r="KJQ7" s="24"/>
      <c r="KJR7" s="24"/>
      <c r="KJS7" s="24"/>
      <c r="KJT7" s="24"/>
      <c r="KJU7" s="24"/>
      <c r="KJV7" s="24"/>
      <c r="KJW7" s="24"/>
      <c r="KJX7" s="24"/>
      <c r="KJY7" s="24"/>
      <c r="KJZ7" s="24"/>
      <c r="KKA7" s="24"/>
      <c r="KKB7" s="24"/>
      <c r="KKC7" s="24"/>
      <c r="KKD7" s="24"/>
      <c r="KKE7" s="24"/>
      <c r="KKF7" s="24"/>
      <c r="KKG7" s="24"/>
      <c r="KKH7" s="24"/>
      <c r="KKI7" s="24"/>
      <c r="KKJ7" s="24"/>
      <c r="KKK7" s="24"/>
      <c r="KKL7" s="24"/>
      <c r="KKM7" s="24"/>
      <c r="KKN7" s="24"/>
      <c r="KKO7" s="24"/>
      <c r="KKP7" s="24"/>
      <c r="KKQ7" s="24"/>
      <c r="KKR7" s="24"/>
      <c r="KKS7" s="24"/>
      <c r="KKT7" s="24"/>
      <c r="KKU7" s="24"/>
      <c r="KKV7" s="24"/>
      <c r="KKW7" s="24"/>
      <c r="KKX7" s="24"/>
      <c r="KKY7" s="24"/>
      <c r="KKZ7" s="24"/>
      <c r="KLA7" s="24"/>
      <c r="KLB7" s="24"/>
      <c r="KLC7" s="24"/>
      <c r="KLD7" s="24"/>
      <c r="KLE7" s="24"/>
      <c r="KLF7" s="24"/>
      <c r="KLG7" s="24"/>
      <c r="KLH7" s="24"/>
      <c r="KLI7" s="24"/>
      <c r="KLJ7" s="24"/>
      <c r="KLK7" s="24"/>
      <c r="KLL7" s="24"/>
      <c r="KLM7" s="24"/>
      <c r="KLN7" s="24"/>
      <c r="KLO7" s="24"/>
      <c r="KLP7" s="24"/>
      <c r="KLQ7" s="24"/>
      <c r="KLR7" s="24"/>
      <c r="KLS7" s="24"/>
      <c r="KLT7" s="24"/>
      <c r="KLU7" s="24"/>
      <c r="KLV7" s="24"/>
      <c r="KLW7" s="24"/>
      <c r="KLX7" s="24"/>
      <c r="KLY7" s="24"/>
      <c r="KLZ7" s="24"/>
      <c r="KMA7" s="24"/>
      <c r="KMB7" s="24"/>
      <c r="KMC7" s="24"/>
      <c r="KMD7" s="24"/>
      <c r="KME7" s="24"/>
      <c r="KMF7" s="24"/>
      <c r="KMG7" s="24"/>
      <c r="KMH7" s="24"/>
      <c r="KMI7" s="24"/>
      <c r="KMJ7" s="24"/>
      <c r="KMK7" s="24"/>
      <c r="KML7" s="24"/>
      <c r="KMM7" s="24"/>
      <c r="KMN7" s="24"/>
      <c r="KMO7" s="24"/>
      <c r="KMP7" s="24"/>
      <c r="KMQ7" s="24"/>
      <c r="KMR7" s="24"/>
      <c r="KMS7" s="24"/>
      <c r="KMT7" s="24"/>
      <c r="KMU7" s="24"/>
      <c r="KMV7" s="24"/>
      <c r="KMW7" s="24"/>
      <c r="KMX7" s="24"/>
      <c r="KMY7" s="24"/>
      <c r="KMZ7" s="24"/>
      <c r="KNA7" s="24"/>
      <c r="KNB7" s="24"/>
      <c r="KNC7" s="24"/>
      <c r="KND7" s="24"/>
      <c r="KNE7" s="24"/>
      <c r="KNF7" s="24"/>
      <c r="KNG7" s="24"/>
      <c r="KNH7" s="24"/>
      <c r="KNI7" s="24"/>
      <c r="KNJ7" s="24"/>
      <c r="KNK7" s="24"/>
      <c r="KNL7" s="24"/>
      <c r="KNM7" s="24"/>
      <c r="KNN7" s="24"/>
      <c r="KNO7" s="24"/>
      <c r="KNP7" s="24"/>
      <c r="KNQ7" s="24"/>
      <c r="KNR7" s="24"/>
      <c r="KNS7" s="24"/>
      <c r="KNT7" s="24"/>
      <c r="KNU7" s="24"/>
      <c r="KNV7" s="24"/>
      <c r="KNW7" s="24"/>
      <c r="KNX7" s="24"/>
      <c r="KNY7" s="24"/>
      <c r="KNZ7" s="24"/>
      <c r="KOA7" s="24"/>
      <c r="KOB7" s="24"/>
      <c r="KOC7" s="24"/>
      <c r="KOD7" s="24"/>
      <c r="KOE7" s="24"/>
      <c r="KOF7" s="24"/>
      <c r="KOG7" s="24"/>
      <c r="KOH7" s="24"/>
      <c r="KOI7" s="24"/>
      <c r="KOJ7" s="24"/>
      <c r="KOK7" s="24"/>
      <c r="KOL7" s="24"/>
      <c r="KOM7" s="24"/>
      <c r="KON7" s="24"/>
      <c r="KOO7" s="24"/>
      <c r="KOP7" s="24"/>
      <c r="KOQ7" s="24"/>
      <c r="KOR7" s="24"/>
      <c r="KOS7" s="24"/>
      <c r="KOT7" s="24"/>
      <c r="KOU7" s="24"/>
      <c r="KOV7" s="24"/>
      <c r="KOW7" s="24"/>
      <c r="KOX7" s="24"/>
      <c r="KOY7" s="24"/>
      <c r="KOZ7" s="24"/>
      <c r="KPA7" s="24"/>
      <c r="KPB7" s="24"/>
      <c r="KPC7" s="24"/>
      <c r="KPD7" s="24"/>
      <c r="KPE7" s="24"/>
      <c r="KPF7" s="24"/>
      <c r="KPG7" s="24"/>
      <c r="KPH7" s="24"/>
      <c r="KPI7" s="24"/>
      <c r="KPJ7" s="24"/>
      <c r="KPK7" s="24"/>
      <c r="KPL7" s="24"/>
      <c r="KPM7" s="24"/>
      <c r="KPN7" s="24"/>
      <c r="KPO7" s="24"/>
      <c r="KPP7" s="24"/>
      <c r="KPQ7" s="24"/>
      <c r="KPR7" s="24"/>
      <c r="KPS7" s="24"/>
      <c r="KPT7" s="24"/>
      <c r="KPU7" s="24"/>
      <c r="KPV7" s="24"/>
      <c r="KPW7" s="24"/>
      <c r="KPX7" s="24"/>
      <c r="KPY7" s="24"/>
      <c r="KPZ7" s="24"/>
      <c r="KQA7" s="24"/>
      <c r="KQB7" s="24"/>
      <c r="KQC7" s="24"/>
      <c r="KQD7" s="24"/>
      <c r="KQE7" s="24"/>
      <c r="KQF7" s="24"/>
      <c r="KQG7" s="24"/>
      <c r="KQH7" s="24"/>
      <c r="KQI7" s="24"/>
      <c r="KQJ7" s="24"/>
      <c r="KQK7" s="24"/>
      <c r="KQL7" s="24"/>
      <c r="KQM7" s="24"/>
      <c r="KQN7" s="24"/>
      <c r="KQO7" s="24"/>
      <c r="KQP7" s="24"/>
      <c r="KQQ7" s="24"/>
      <c r="KQR7" s="24"/>
      <c r="KQS7" s="24"/>
      <c r="KQT7" s="24"/>
      <c r="KQU7" s="24"/>
      <c r="KQV7" s="24"/>
      <c r="KQW7" s="24"/>
      <c r="KQX7" s="24"/>
      <c r="KQY7" s="24"/>
      <c r="KQZ7" s="24"/>
      <c r="KRA7" s="24"/>
      <c r="KRB7" s="24"/>
      <c r="KRC7" s="24"/>
      <c r="KRD7" s="24"/>
      <c r="KRE7" s="24"/>
      <c r="KRF7" s="24"/>
      <c r="KRG7" s="24"/>
      <c r="KRH7" s="24"/>
      <c r="KRI7" s="24"/>
      <c r="KRJ7" s="24"/>
      <c r="KRK7" s="24"/>
      <c r="KRL7" s="24"/>
      <c r="KRM7" s="24"/>
      <c r="KRN7" s="24"/>
      <c r="KRO7" s="24"/>
      <c r="KRP7" s="24"/>
      <c r="KRQ7" s="24"/>
      <c r="KRR7" s="24"/>
      <c r="KRS7" s="24"/>
      <c r="KRT7" s="24"/>
      <c r="KRU7" s="24"/>
      <c r="KRV7" s="24"/>
      <c r="KRW7" s="24"/>
      <c r="KRX7" s="24"/>
      <c r="KRY7" s="24"/>
      <c r="KRZ7" s="24"/>
      <c r="KSA7" s="24"/>
      <c r="KSB7" s="24"/>
      <c r="KSC7" s="24"/>
      <c r="KSD7" s="24"/>
      <c r="KSE7" s="24"/>
      <c r="KSF7" s="24"/>
      <c r="KSG7" s="24"/>
      <c r="KSH7" s="24"/>
      <c r="KSI7" s="24"/>
      <c r="KSJ7" s="24"/>
      <c r="KSK7" s="24"/>
      <c r="KSL7" s="24"/>
      <c r="KSM7" s="24"/>
      <c r="KSN7" s="24"/>
      <c r="KSO7" s="24"/>
      <c r="KSP7" s="24"/>
      <c r="KSQ7" s="24"/>
      <c r="KSR7" s="24"/>
      <c r="KSS7" s="24"/>
      <c r="KST7" s="24"/>
      <c r="KSU7" s="24"/>
      <c r="KSV7" s="24"/>
      <c r="KSW7" s="24"/>
      <c r="KSX7" s="24"/>
      <c r="KSY7" s="24"/>
      <c r="KSZ7" s="24"/>
      <c r="KTA7" s="24"/>
      <c r="KTB7" s="24"/>
      <c r="KTC7" s="24"/>
      <c r="KTD7" s="24"/>
      <c r="KTE7" s="24"/>
      <c r="KTF7" s="24"/>
      <c r="KTG7" s="24"/>
      <c r="KTH7" s="24"/>
      <c r="KTI7" s="24"/>
      <c r="KTJ7" s="24"/>
      <c r="KTK7" s="24"/>
      <c r="KTL7" s="24"/>
      <c r="KTM7" s="24"/>
      <c r="KTN7" s="24"/>
      <c r="KTO7" s="24"/>
      <c r="KTP7" s="24"/>
      <c r="KTQ7" s="24"/>
      <c r="KTR7" s="24"/>
      <c r="KTS7" s="24"/>
      <c r="KTT7" s="24"/>
      <c r="KTU7" s="24"/>
      <c r="KTV7" s="24"/>
      <c r="KTW7" s="24"/>
      <c r="KTX7" s="24"/>
      <c r="KTY7" s="24"/>
      <c r="KTZ7" s="24"/>
      <c r="KUA7" s="24"/>
      <c r="KUB7" s="24"/>
      <c r="KUC7" s="24"/>
      <c r="KUD7" s="24"/>
      <c r="KUE7" s="24"/>
      <c r="KUF7" s="24"/>
      <c r="KUG7" s="24"/>
      <c r="KUH7" s="24"/>
      <c r="KUI7" s="24"/>
      <c r="KUJ7" s="24"/>
      <c r="KUK7" s="24"/>
      <c r="KUL7" s="24"/>
      <c r="KUM7" s="24"/>
      <c r="KUN7" s="24"/>
      <c r="KUO7" s="24"/>
      <c r="KUP7" s="24"/>
      <c r="KUQ7" s="24"/>
      <c r="KUR7" s="24"/>
      <c r="KUS7" s="24"/>
      <c r="KUT7" s="24"/>
      <c r="KUU7" s="24"/>
      <c r="KUV7" s="24"/>
      <c r="KUW7" s="24"/>
      <c r="KUX7" s="24"/>
      <c r="KUY7" s="24"/>
      <c r="KUZ7" s="24"/>
      <c r="KVA7" s="24"/>
      <c r="KVB7" s="24"/>
      <c r="KVC7" s="24"/>
      <c r="KVD7" s="24"/>
      <c r="KVE7" s="24"/>
      <c r="KVF7" s="24"/>
      <c r="KVG7" s="24"/>
      <c r="KVH7" s="24"/>
      <c r="KVI7" s="24"/>
      <c r="KVJ7" s="24"/>
      <c r="KVK7" s="24"/>
      <c r="KVL7" s="24"/>
      <c r="KVM7" s="24"/>
      <c r="KVN7" s="24"/>
      <c r="KVO7" s="24"/>
      <c r="KVP7" s="24"/>
      <c r="KVQ7" s="24"/>
      <c r="KVR7" s="24"/>
      <c r="KVS7" s="24"/>
      <c r="KVT7" s="24"/>
      <c r="KVU7" s="24"/>
      <c r="KVV7" s="24"/>
      <c r="KVW7" s="24"/>
      <c r="KVX7" s="24"/>
      <c r="KVY7" s="24"/>
      <c r="KVZ7" s="24"/>
      <c r="KWA7" s="24"/>
      <c r="KWB7" s="24"/>
      <c r="KWC7" s="24"/>
      <c r="KWD7" s="24"/>
      <c r="KWE7" s="24"/>
      <c r="KWF7" s="24"/>
      <c r="KWG7" s="24"/>
      <c r="KWH7" s="24"/>
      <c r="KWI7" s="24"/>
      <c r="KWJ7" s="24"/>
      <c r="KWK7" s="24"/>
      <c r="KWL7" s="24"/>
      <c r="KWM7" s="24"/>
      <c r="KWN7" s="24"/>
      <c r="KWO7" s="24"/>
      <c r="KWP7" s="24"/>
      <c r="KWQ7" s="24"/>
      <c r="KWR7" s="24"/>
      <c r="KWS7" s="24"/>
      <c r="KWT7" s="24"/>
      <c r="KWU7" s="24"/>
      <c r="KWV7" s="24"/>
      <c r="KWW7" s="24"/>
      <c r="KWX7" s="24"/>
      <c r="KWY7" s="24"/>
      <c r="KWZ7" s="24"/>
      <c r="KXA7" s="24"/>
      <c r="KXB7" s="24"/>
      <c r="KXC7" s="24"/>
      <c r="KXD7" s="24"/>
      <c r="KXE7" s="24"/>
      <c r="KXF7" s="24"/>
      <c r="KXG7" s="24"/>
      <c r="KXH7" s="24"/>
      <c r="KXI7" s="24"/>
      <c r="KXJ7" s="24"/>
      <c r="KXK7" s="24"/>
      <c r="KXL7" s="24"/>
      <c r="KXM7" s="24"/>
      <c r="KXN7" s="24"/>
      <c r="KXO7" s="24"/>
      <c r="KXP7" s="24"/>
      <c r="KXQ7" s="24"/>
      <c r="KXR7" s="24"/>
      <c r="KXS7" s="24"/>
      <c r="KXT7" s="24"/>
      <c r="KXU7" s="24"/>
      <c r="KXV7" s="24"/>
      <c r="KXW7" s="24"/>
      <c r="KXX7" s="24"/>
      <c r="KXY7" s="24"/>
      <c r="KXZ7" s="24"/>
      <c r="KYA7" s="24"/>
      <c r="KYB7" s="24"/>
      <c r="KYC7" s="24"/>
      <c r="KYD7" s="24"/>
      <c r="KYE7" s="24"/>
      <c r="KYF7" s="24"/>
      <c r="KYG7" s="24"/>
      <c r="KYH7" s="24"/>
      <c r="KYI7" s="24"/>
      <c r="KYJ7" s="24"/>
      <c r="KYK7" s="24"/>
      <c r="KYL7" s="24"/>
      <c r="KYM7" s="24"/>
      <c r="KYN7" s="24"/>
      <c r="KYO7" s="24"/>
      <c r="KYP7" s="24"/>
      <c r="KYQ7" s="24"/>
      <c r="KYR7" s="24"/>
      <c r="KYS7" s="24"/>
      <c r="KYT7" s="24"/>
      <c r="KYU7" s="24"/>
      <c r="KYV7" s="24"/>
      <c r="KYW7" s="24"/>
      <c r="KYX7" s="24"/>
      <c r="KYY7" s="24"/>
      <c r="KYZ7" s="24"/>
      <c r="KZA7" s="24"/>
      <c r="KZB7" s="24"/>
      <c r="KZC7" s="24"/>
      <c r="KZD7" s="24"/>
      <c r="KZE7" s="24"/>
      <c r="KZF7" s="24"/>
      <c r="KZG7" s="24"/>
      <c r="KZH7" s="24"/>
      <c r="KZI7" s="24"/>
      <c r="KZJ7" s="24"/>
      <c r="KZK7" s="24"/>
      <c r="KZL7" s="24"/>
      <c r="KZM7" s="24"/>
      <c r="KZN7" s="24"/>
      <c r="KZO7" s="24"/>
      <c r="KZP7" s="24"/>
      <c r="KZQ7" s="24"/>
      <c r="KZR7" s="24"/>
      <c r="KZS7" s="24"/>
      <c r="KZT7" s="24"/>
      <c r="KZU7" s="24"/>
      <c r="KZV7" s="24"/>
      <c r="KZW7" s="24"/>
      <c r="KZX7" s="24"/>
      <c r="KZY7" s="24"/>
      <c r="KZZ7" s="24"/>
      <c r="LAA7" s="24"/>
      <c r="LAB7" s="24"/>
      <c r="LAC7" s="24"/>
      <c r="LAD7" s="24"/>
      <c r="LAE7" s="24"/>
      <c r="LAF7" s="24"/>
      <c r="LAG7" s="24"/>
      <c r="LAH7" s="24"/>
      <c r="LAI7" s="24"/>
      <c r="LAJ7" s="24"/>
      <c r="LAK7" s="24"/>
      <c r="LAL7" s="24"/>
      <c r="LAM7" s="24"/>
      <c r="LAN7" s="24"/>
      <c r="LAO7" s="24"/>
      <c r="LAP7" s="24"/>
      <c r="LAQ7" s="24"/>
      <c r="LAR7" s="24"/>
      <c r="LAS7" s="24"/>
      <c r="LAT7" s="24"/>
      <c r="LAU7" s="24"/>
      <c r="LAV7" s="24"/>
      <c r="LAW7" s="24"/>
      <c r="LAX7" s="24"/>
      <c r="LAY7" s="24"/>
      <c r="LAZ7" s="24"/>
      <c r="LBA7" s="24"/>
      <c r="LBB7" s="24"/>
      <c r="LBC7" s="24"/>
      <c r="LBD7" s="24"/>
      <c r="LBE7" s="24"/>
      <c r="LBF7" s="24"/>
      <c r="LBG7" s="24"/>
      <c r="LBH7" s="24"/>
      <c r="LBI7" s="24"/>
      <c r="LBJ7" s="24"/>
      <c r="LBK7" s="24"/>
      <c r="LBL7" s="24"/>
      <c r="LBM7" s="24"/>
      <c r="LBN7" s="24"/>
      <c r="LBO7" s="24"/>
      <c r="LBP7" s="24"/>
      <c r="LBQ7" s="24"/>
      <c r="LBR7" s="24"/>
      <c r="LBS7" s="24"/>
      <c r="LBT7" s="24"/>
      <c r="LBU7" s="24"/>
      <c r="LBV7" s="24"/>
      <c r="LBW7" s="24"/>
      <c r="LBX7" s="24"/>
      <c r="LBY7" s="24"/>
      <c r="LBZ7" s="24"/>
      <c r="LCA7" s="24"/>
      <c r="LCB7" s="24"/>
      <c r="LCC7" s="24"/>
      <c r="LCD7" s="24"/>
      <c r="LCE7" s="24"/>
      <c r="LCF7" s="24"/>
      <c r="LCG7" s="24"/>
      <c r="LCH7" s="24"/>
      <c r="LCI7" s="24"/>
      <c r="LCJ7" s="24"/>
      <c r="LCK7" s="24"/>
      <c r="LCL7" s="24"/>
      <c r="LCM7" s="24"/>
      <c r="LCN7" s="24"/>
      <c r="LCO7" s="24"/>
      <c r="LCP7" s="24"/>
      <c r="LCQ7" s="24"/>
      <c r="LCR7" s="24"/>
      <c r="LCS7" s="24"/>
      <c r="LCT7" s="24"/>
      <c r="LCU7" s="24"/>
      <c r="LCV7" s="24"/>
      <c r="LCW7" s="24"/>
      <c r="LCX7" s="24"/>
      <c r="LCY7" s="24"/>
      <c r="LCZ7" s="24"/>
      <c r="LDA7" s="24"/>
      <c r="LDB7" s="24"/>
      <c r="LDC7" s="24"/>
      <c r="LDD7" s="24"/>
      <c r="LDE7" s="24"/>
      <c r="LDF7" s="24"/>
      <c r="LDG7" s="24"/>
      <c r="LDH7" s="24"/>
      <c r="LDI7" s="24"/>
      <c r="LDJ7" s="24"/>
      <c r="LDK7" s="24"/>
      <c r="LDL7" s="24"/>
      <c r="LDM7" s="24"/>
      <c r="LDN7" s="24"/>
      <c r="LDO7" s="24"/>
      <c r="LDP7" s="24"/>
      <c r="LDQ7" s="24"/>
      <c r="LDR7" s="24"/>
      <c r="LDS7" s="24"/>
      <c r="LDT7" s="24"/>
      <c r="LDU7" s="24"/>
      <c r="LDV7" s="24"/>
      <c r="LDW7" s="24"/>
      <c r="LDX7" s="24"/>
      <c r="LDY7" s="24"/>
      <c r="LDZ7" s="24"/>
      <c r="LEA7" s="24"/>
      <c r="LEB7" s="24"/>
      <c r="LEC7" s="24"/>
      <c r="LED7" s="24"/>
      <c r="LEE7" s="24"/>
      <c r="LEF7" s="24"/>
      <c r="LEG7" s="24"/>
      <c r="LEH7" s="24"/>
      <c r="LEI7" s="24"/>
      <c r="LEJ7" s="24"/>
      <c r="LEK7" s="24"/>
      <c r="LEL7" s="24"/>
      <c r="LEM7" s="24"/>
      <c r="LEN7" s="24"/>
      <c r="LEO7" s="24"/>
      <c r="LEP7" s="24"/>
      <c r="LEQ7" s="24"/>
      <c r="LER7" s="24"/>
      <c r="LES7" s="24"/>
      <c r="LET7" s="24"/>
      <c r="LEU7" s="24"/>
      <c r="LEV7" s="24"/>
      <c r="LEW7" s="24"/>
      <c r="LEX7" s="24"/>
      <c r="LEY7" s="24"/>
      <c r="LEZ7" s="24"/>
      <c r="LFA7" s="24"/>
      <c r="LFB7" s="24"/>
      <c r="LFC7" s="24"/>
      <c r="LFD7" s="24"/>
      <c r="LFE7" s="24"/>
      <c r="LFF7" s="24"/>
      <c r="LFG7" s="24"/>
      <c r="LFH7" s="24"/>
      <c r="LFI7" s="24"/>
      <c r="LFJ7" s="24"/>
      <c r="LFK7" s="24"/>
      <c r="LFL7" s="24"/>
      <c r="LFM7" s="24"/>
      <c r="LFN7" s="24"/>
      <c r="LFO7" s="24"/>
      <c r="LFP7" s="24"/>
      <c r="LFQ7" s="24"/>
      <c r="LFR7" s="24"/>
      <c r="LFS7" s="24"/>
      <c r="LFT7" s="24"/>
      <c r="LFU7" s="24"/>
      <c r="LFV7" s="24"/>
      <c r="LFW7" s="24"/>
      <c r="LFX7" s="24"/>
      <c r="LFY7" s="24"/>
      <c r="LFZ7" s="24"/>
      <c r="LGA7" s="24"/>
      <c r="LGB7" s="24"/>
      <c r="LGC7" s="24"/>
      <c r="LGD7" s="24"/>
      <c r="LGE7" s="24"/>
      <c r="LGF7" s="24"/>
      <c r="LGG7" s="24"/>
      <c r="LGH7" s="24"/>
      <c r="LGI7" s="24"/>
      <c r="LGJ7" s="24"/>
      <c r="LGK7" s="24"/>
      <c r="LGL7" s="24"/>
      <c r="LGM7" s="24"/>
      <c r="LGN7" s="24"/>
      <c r="LGO7" s="24"/>
      <c r="LGP7" s="24"/>
      <c r="LGQ7" s="24"/>
      <c r="LGR7" s="24"/>
      <c r="LGS7" s="24"/>
      <c r="LGT7" s="24"/>
      <c r="LGU7" s="24"/>
      <c r="LGV7" s="24"/>
      <c r="LGW7" s="24"/>
      <c r="LGX7" s="24"/>
      <c r="LGY7" s="24"/>
      <c r="LGZ7" s="24"/>
      <c r="LHA7" s="24"/>
      <c r="LHB7" s="24"/>
      <c r="LHC7" s="24"/>
      <c r="LHD7" s="24"/>
      <c r="LHE7" s="24"/>
      <c r="LHF7" s="24"/>
      <c r="LHG7" s="24"/>
      <c r="LHH7" s="24"/>
      <c r="LHI7" s="24"/>
      <c r="LHJ7" s="24"/>
      <c r="LHK7" s="24"/>
      <c r="LHL7" s="24"/>
      <c r="LHM7" s="24"/>
      <c r="LHN7" s="24"/>
      <c r="LHO7" s="24"/>
      <c r="LHP7" s="24"/>
      <c r="LHQ7" s="24"/>
      <c r="LHR7" s="24"/>
      <c r="LHS7" s="24"/>
      <c r="LHT7" s="24"/>
      <c r="LHU7" s="24"/>
      <c r="LHV7" s="24"/>
      <c r="LHW7" s="24"/>
      <c r="LHX7" s="24"/>
      <c r="LHY7" s="24"/>
      <c r="LHZ7" s="24"/>
      <c r="LIA7" s="24"/>
      <c r="LIB7" s="24"/>
      <c r="LIC7" s="24"/>
      <c r="LID7" s="24"/>
      <c r="LIE7" s="24"/>
      <c r="LIF7" s="24"/>
      <c r="LIG7" s="24"/>
      <c r="LIH7" s="24"/>
      <c r="LII7" s="24"/>
      <c r="LIJ7" s="24"/>
      <c r="LIK7" s="24"/>
      <c r="LIL7" s="24"/>
      <c r="LIM7" s="24"/>
      <c r="LIN7" s="24"/>
      <c r="LIO7" s="24"/>
      <c r="LIP7" s="24"/>
      <c r="LIQ7" s="24"/>
      <c r="LIR7" s="24"/>
      <c r="LIS7" s="24"/>
      <c r="LIT7" s="24"/>
      <c r="LIU7" s="24"/>
      <c r="LIV7" s="24"/>
      <c r="LIW7" s="24"/>
      <c r="LIX7" s="24"/>
      <c r="LIY7" s="24"/>
      <c r="LIZ7" s="24"/>
      <c r="LJA7" s="24"/>
      <c r="LJB7" s="24"/>
      <c r="LJC7" s="24"/>
      <c r="LJD7" s="24"/>
      <c r="LJE7" s="24"/>
      <c r="LJF7" s="24"/>
      <c r="LJG7" s="24"/>
      <c r="LJH7" s="24"/>
      <c r="LJI7" s="24"/>
      <c r="LJJ7" s="24"/>
      <c r="LJK7" s="24"/>
      <c r="LJL7" s="24"/>
      <c r="LJM7" s="24"/>
      <c r="LJN7" s="24"/>
      <c r="LJO7" s="24"/>
      <c r="LJP7" s="24"/>
      <c r="LJQ7" s="24"/>
      <c r="LJR7" s="24"/>
      <c r="LJS7" s="24"/>
      <c r="LJT7" s="24"/>
      <c r="LJU7" s="24"/>
      <c r="LJV7" s="24"/>
      <c r="LJW7" s="24"/>
      <c r="LJX7" s="24"/>
      <c r="LJY7" s="24"/>
      <c r="LJZ7" s="24"/>
      <c r="LKA7" s="24"/>
      <c r="LKB7" s="24"/>
      <c r="LKC7" s="24"/>
      <c r="LKD7" s="24"/>
      <c r="LKE7" s="24"/>
      <c r="LKF7" s="24"/>
      <c r="LKG7" s="24"/>
      <c r="LKH7" s="24"/>
      <c r="LKI7" s="24"/>
      <c r="LKJ7" s="24"/>
      <c r="LKK7" s="24"/>
      <c r="LKL7" s="24"/>
      <c r="LKM7" s="24"/>
      <c r="LKN7" s="24"/>
      <c r="LKO7" s="24"/>
      <c r="LKP7" s="24"/>
      <c r="LKQ7" s="24"/>
      <c r="LKR7" s="24"/>
      <c r="LKS7" s="24"/>
      <c r="LKT7" s="24"/>
      <c r="LKU7" s="24"/>
      <c r="LKV7" s="24"/>
      <c r="LKW7" s="24"/>
      <c r="LKX7" s="24"/>
      <c r="LKY7" s="24"/>
      <c r="LKZ7" s="24"/>
      <c r="LLA7" s="24"/>
      <c r="LLB7" s="24"/>
      <c r="LLC7" s="24"/>
      <c r="LLD7" s="24"/>
      <c r="LLE7" s="24"/>
      <c r="LLF7" s="24"/>
      <c r="LLG7" s="24"/>
      <c r="LLH7" s="24"/>
      <c r="LLI7" s="24"/>
      <c r="LLJ7" s="24"/>
      <c r="LLK7" s="24"/>
      <c r="LLL7" s="24"/>
      <c r="LLM7" s="24"/>
      <c r="LLN7" s="24"/>
      <c r="LLO7" s="24"/>
      <c r="LLP7" s="24"/>
      <c r="LLQ7" s="24"/>
      <c r="LLR7" s="24"/>
      <c r="LLS7" s="24"/>
      <c r="LLT7" s="24"/>
      <c r="LLU7" s="24"/>
      <c r="LLV7" s="24"/>
      <c r="LLW7" s="24"/>
      <c r="LLX7" s="24"/>
      <c r="LLY7" s="24"/>
      <c r="LLZ7" s="24"/>
      <c r="LMA7" s="24"/>
      <c r="LMB7" s="24"/>
      <c r="LMC7" s="24"/>
      <c r="LMD7" s="24"/>
      <c r="LME7" s="24"/>
      <c r="LMF7" s="24"/>
      <c r="LMG7" s="24"/>
      <c r="LMH7" s="24"/>
      <c r="LMI7" s="24"/>
      <c r="LMJ7" s="24"/>
      <c r="LMK7" s="24"/>
      <c r="LML7" s="24"/>
      <c r="LMM7" s="24"/>
      <c r="LMN7" s="24"/>
      <c r="LMO7" s="24"/>
      <c r="LMP7" s="24"/>
      <c r="LMQ7" s="24"/>
      <c r="LMR7" s="24"/>
      <c r="LMS7" s="24"/>
      <c r="LMT7" s="24"/>
      <c r="LMU7" s="24"/>
      <c r="LMV7" s="24"/>
      <c r="LMW7" s="24"/>
      <c r="LMX7" s="24"/>
      <c r="LMY7" s="24"/>
      <c r="LMZ7" s="24"/>
      <c r="LNA7" s="24"/>
      <c r="LNB7" s="24"/>
      <c r="LNC7" s="24"/>
      <c r="LND7" s="24"/>
      <c r="LNE7" s="24"/>
      <c r="LNF7" s="24"/>
      <c r="LNG7" s="24"/>
      <c r="LNH7" s="24"/>
      <c r="LNI7" s="24"/>
      <c r="LNJ7" s="24"/>
      <c r="LNK7" s="24"/>
      <c r="LNL7" s="24"/>
      <c r="LNM7" s="24"/>
      <c r="LNN7" s="24"/>
      <c r="LNO7" s="24"/>
      <c r="LNP7" s="24"/>
      <c r="LNQ7" s="24"/>
      <c r="LNR7" s="24"/>
      <c r="LNS7" s="24"/>
      <c r="LNT7" s="24"/>
      <c r="LNU7" s="24"/>
      <c r="LNV7" s="24"/>
      <c r="LNW7" s="24"/>
      <c r="LNX7" s="24"/>
      <c r="LNY7" s="24"/>
      <c r="LNZ7" s="24"/>
      <c r="LOA7" s="24"/>
      <c r="LOB7" s="24"/>
      <c r="LOC7" s="24"/>
      <c r="LOD7" s="24"/>
      <c r="LOE7" s="24"/>
      <c r="LOF7" s="24"/>
      <c r="LOG7" s="24"/>
      <c r="LOH7" s="24"/>
      <c r="LOI7" s="24"/>
      <c r="LOJ7" s="24"/>
      <c r="LOK7" s="24"/>
      <c r="LOL7" s="24"/>
      <c r="LOM7" s="24"/>
      <c r="LON7" s="24"/>
      <c r="LOO7" s="24"/>
      <c r="LOP7" s="24"/>
      <c r="LOQ7" s="24"/>
      <c r="LOR7" s="24"/>
      <c r="LOS7" s="24"/>
      <c r="LOT7" s="24"/>
      <c r="LOU7" s="24"/>
      <c r="LOV7" s="24"/>
      <c r="LOW7" s="24"/>
      <c r="LOX7" s="24"/>
      <c r="LOY7" s="24"/>
      <c r="LOZ7" s="24"/>
      <c r="LPA7" s="24"/>
      <c r="LPB7" s="24"/>
      <c r="LPC7" s="24"/>
      <c r="LPD7" s="24"/>
      <c r="LPE7" s="24"/>
      <c r="LPF7" s="24"/>
      <c r="LPG7" s="24"/>
      <c r="LPH7" s="24"/>
      <c r="LPI7" s="24"/>
      <c r="LPJ7" s="24"/>
      <c r="LPK7" s="24"/>
      <c r="LPL7" s="24"/>
      <c r="LPM7" s="24"/>
      <c r="LPN7" s="24"/>
      <c r="LPO7" s="24"/>
      <c r="LPP7" s="24"/>
      <c r="LPQ7" s="24"/>
      <c r="LPR7" s="24"/>
      <c r="LPS7" s="24"/>
      <c r="LPT7" s="24"/>
      <c r="LPU7" s="24"/>
      <c r="LPV7" s="24"/>
      <c r="LPW7" s="24"/>
      <c r="LPX7" s="24"/>
      <c r="LPY7" s="24"/>
      <c r="LPZ7" s="24"/>
      <c r="LQA7" s="24"/>
      <c r="LQB7" s="24"/>
      <c r="LQC7" s="24"/>
      <c r="LQD7" s="24"/>
      <c r="LQE7" s="24"/>
      <c r="LQF7" s="24"/>
      <c r="LQG7" s="24"/>
      <c r="LQH7" s="24"/>
      <c r="LQI7" s="24"/>
      <c r="LQJ7" s="24"/>
      <c r="LQK7" s="24"/>
      <c r="LQL7" s="24"/>
      <c r="LQM7" s="24"/>
      <c r="LQN7" s="24"/>
      <c r="LQO7" s="24"/>
      <c r="LQP7" s="24"/>
      <c r="LQQ7" s="24"/>
      <c r="LQR7" s="24"/>
      <c r="LQS7" s="24"/>
      <c r="LQT7" s="24"/>
      <c r="LQU7" s="24"/>
      <c r="LQV7" s="24"/>
      <c r="LQW7" s="24"/>
      <c r="LQX7" s="24"/>
      <c r="LQY7" s="24"/>
      <c r="LQZ7" s="24"/>
      <c r="LRA7" s="24"/>
      <c r="LRB7" s="24"/>
      <c r="LRC7" s="24"/>
      <c r="LRD7" s="24"/>
      <c r="LRE7" s="24"/>
      <c r="LRF7" s="24"/>
      <c r="LRG7" s="24"/>
      <c r="LRH7" s="24"/>
      <c r="LRI7" s="24"/>
      <c r="LRJ7" s="24"/>
      <c r="LRK7" s="24"/>
      <c r="LRL7" s="24"/>
      <c r="LRM7" s="24"/>
      <c r="LRN7" s="24"/>
      <c r="LRO7" s="24"/>
      <c r="LRP7" s="24"/>
      <c r="LRQ7" s="24"/>
      <c r="LRR7" s="24"/>
      <c r="LRS7" s="24"/>
      <c r="LRT7" s="24"/>
      <c r="LRU7" s="24"/>
      <c r="LRV7" s="24"/>
      <c r="LRW7" s="24"/>
      <c r="LRX7" s="24"/>
      <c r="LRY7" s="24"/>
      <c r="LRZ7" s="24"/>
      <c r="LSA7" s="24"/>
      <c r="LSB7" s="24"/>
      <c r="LSC7" s="24"/>
      <c r="LSD7" s="24"/>
      <c r="LSE7" s="24"/>
      <c r="LSF7" s="24"/>
      <c r="LSG7" s="24"/>
      <c r="LSH7" s="24"/>
      <c r="LSI7" s="24"/>
      <c r="LSJ7" s="24"/>
      <c r="LSK7" s="24"/>
      <c r="LSL7" s="24"/>
      <c r="LSM7" s="24"/>
      <c r="LSN7" s="24"/>
      <c r="LSO7" s="24"/>
      <c r="LSP7" s="24"/>
      <c r="LSQ7" s="24"/>
      <c r="LSR7" s="24"/>
      <c r="LSS7" s="24"/>
      <c r="LST7" s="24"/>
      <c r="LSU7" s="24"/>
      <c r="LSV7" s="24"/>
      <c r="LSW7" s="24"/>
      <c r="LSX7" s="24"/>
      <c r="LSY7" s="24"/>
      <c r="LSZ7" s="24"/>
      <c r="LTA7" s="24"/>
      <c r="LTB7" s="24"/>
      <c r="LTC7" s="24"/>
      <c r="LTD7" s="24"/>
      <c r="LTE7" s="24"/>
      <c r="LTF7" s="24"/>
      <c r="LTG7" s="24"/>
      <c r="LTH7" s="24"/>
      <c r="LTI7" s="24"/>
      <c r="LTJ7" s="24"/>
      <c r="LTK7" s="24"/>
      <c r="LTL7" s="24"/>
      <c r="LTM7" s="24"/>
      <c r="LTN7" s="24"/>
      <c r="LTO7" s="24"/>
      <c r="LTP7" s="24"/>
      <c r="LTQ7" s="24"/>
      <c r="LTR7" s="24"/>
      <c r="LTS7" s="24"/>
      <c r="LTT7" s="24"/>
      <c r="LTU7" s="24"/>
      <c r="LTV7" s="24"/>
      <c r="LTW7" s="24"/>
      <c r="LTX7" s="24"/>
      <c r="LTY7" s="24"/>
      <c r="LTZ7" s="24"/>
      <c r="LUA7" s="24"/>
      <c r="LUB7" s="24"/>
      <c r="LUC7" s="24"/>
      <c r="LUD7" s="24"/>
      <c r="LUE7" s="24"/>
      <c r="LUF7" s="24"/>
      <c r="LUG7" s="24"/>
      <c r="LUH7" s="24"/>
      <c r="LUI7" s="24"/>
      <c r="LUJ7" s="24"/>
      <c r="LUK7" s="24"/>
      <c r="LUL7" s="24"/>
      <c r="LUM7" s="24"/>
      <c r="LUN7" s="24"/>
      <c r="LUO7" s="24"/>
      <c r="LUP7" s="24"/>
      <c r="LUQ7" s="24"/>
      <c r="LUR7" s="24"/>
      <c r="LUS7" s="24"/>
      <c r="LUT7" s="24"/>
      <c r="LUU7" s="24"/>
      <c r="LUV7" s="24"/>
      <c r="LUW7" s="24"/>
      <c r="LUX7" s="24"/>
      <c r="LUY7" s="24"/>
      <c r="LUZ7" s="24"/>
      <c r="LVA7" s="24"/>
      <c r="LVB7" s="24"/>
      <c r="LVC7" s="24"/>
      <c r="LVD7" s="24"/>
      <c r="LVE7" s="24"/>
      <c r="LVF7" s="24"/>
      <c r="LVG7" s="24"/>
      <c r="LVH7" s="24"/>
      <c r="LVI7" s="24"/>
      <c r="LVJ7" s="24"/>
      <c r="LVK7" s="24"/>
      <c r="LVL7" s="24"/>
      <c r="LVM7" s="24"/>
      <c r="LVN7" s="24"/>
      <c r="LVO7" s="24"/>
      <c r="LVP7" s="24"/>
      <c r="LVQ7" s="24"/>
      <c r="LVR7" s="24"/>
      <c r="LVS7" s="24"/>
      <c r="LVT7" s="24"/>
      <c r="LVU7" s="24"/>
      <c r="LVV7" s="24"/>
      <c r="LVW7" s="24"/>
      <c r="LVX7" s="24"/>
      <c r="LVY7" s="24"/>
      <c r="LVZ7" s="24"/>
      <c r="LWA7" s="24"/>
      <c r="LWB7" s="24"/>
      <c r="LWC7" s="24"/>
      <c r="LWD7" s="24"/>
      <c r="LWE7" s="24"/>
      <c r="LWF7" s="24"/>
      <c r="LWG7" s="24"/>
      <c r="LWH7" s="24"/>
      <c r="LWI7" s="24"/>
      <c r="LWJ7" s="24"/>
      <c r="LWK7" s="24"/>
      <c r="LWL7" s="24"/>
      <c r="LWM7" s="24"/>
      <c r="LWN7" s="24"/>
      <c r="LWO7" s="24"/>
      <c r="LWP7" s="24"/>
      <c r="LWQ7" s="24"/>
      <c r="LWR7" s="24"/>
      <c r="LWS7" s="24"/>
      <c r="LWT7" s="24"/>
      <c r="LWU7" s="24"/>
      <c r="LWV7" s="24"/>
      <c r="LWW7" s="24"/>
      <c r="LWX7" s="24"/>
      <c r="LWY7" s="24"/>
      <c r="LWZ7" s="24"/>
      <c r="LXA7" s="24"/>
      <c r="LXB7" s="24"/>
      <c r="LXC7" s="24"/>
      <c r="LXD7" s="24"/>
      <c r="LXE7" s="24"/>
      <c r="LXF7" s="24"/>
      <c r="LXG7" s="24"/>
      <c r="LXH7" s="24"/>
      <c r="LXI7" s="24"/>
      <c r="LXJ7" s="24"/>
      <c r="LXK7" s="24"/>
      <c r="LXL7" s="24"/>
      <c r="LXM7" s="24"/>
      <c r="LXN7" s="24"/>
      <c r="LXO7" s="24"/>
      <c r="LXP7" s="24"/>
      <c r="LXQ7" s="24"/>
      <c r="LXR7" s="24"/>
      <c r="LXS7" s="24"/>
      <c r="LXT7" s="24"/>
      <c r="LXU7" s="24"/>
      <c r="LXV7" s="24"/>
      <c r="LXW7" s="24"/>
      <c r="LXX7" s="24"/>
      <c r="LXY7" s="24"/>
      <c r="LXZ7" s="24"/>
      <c r="LYA7" s="24"/>
      <c r="LYB7" s="24"/>
      <c r="LYC7" s="24"/>
      <c r="LYD7" s="24"/>
      <c r="LYE7" s="24"/>
      <c r="LYF7" s="24"/>
      <c r="LYG7" s="24"/>
      <c r="LYH7" s="24"/>
      <c r="LYI7" s="24"/>
      <c r="LYJ7" s="24"/>
      <c r="LYK7" s="24"/>
      <c r="LYL7" s="24"/>
      <c r="LYM7" s="24"/>
      <c r="LYN7" s="24"/>
      <c r="LYO7" s="24"/>
      <c r="LYP7" s="24"/>
      <c r="LYQ7" s="24"/>
      <c r="LYR7" s="24"/>
      <c r="LYS7" s="24"/>
      <c r="LYT7" s="24"/>
      <c r="LYU7" s="24"/>
      <c r="LYV7" s="24"/>
      <c r="LYW7" s="24"/>
      <c r="LYX7" s="24"/>
      <c r="LYY7" s="24"/>
      <c r="LYZ7" s="24"/>
      <c r="LZA7" s="24"/>
      <c r="LZB7" s="24"/>
      <c r="LZC7" s="24"/>
      <c r="LZD7" s="24"/>
      <c r="LZE7" s="24"/>
      <c r="LZF7" s="24"/>
      <c r="LZG7" s="24"/>
      <c r="LZH7" s="24"/>
      <c r="LZI7" s="24"/>
      <c r="LZJ7" s="24"/>
      <c r="LZK7" s="24"/>
      <c r="LZL7" s="24"/>
      <c r="LZM7" s="24"/>
      <c r="LZN7" s="24"/>
      <c r="LZO7" s="24"/>
      <c r="LZP7" s="24"/>
      <c r="LZQ7" s="24"/>
      <c r="LZR7" s="24"/>
      <c r="LZS7" s="24"/>
      <c r="LZT7" s="24"/>
      <c r="LZU7" s="24"/>
      <c r="LZV7" s="24"/>
      <c r="LZW7" s="24"/>
      <c r="LZX7" s="24"/>
      <c r="LZY7" s="24"/>
      <c r="LZZ7" s="24"/>
      <c r="MAA7" s="24"/>
      <c r="MAB7" s="24"/>
      <c r="MAC7" s="24"/>
      <c r="MAD7" s="24"/>
      <c r="MAE7" s="24"/>
      <c r="MAF7" s="24"/>
      <c r="MAG7" s="24"/>
      <c r="MAH7" s="24"/>
      <c r="MAI7" s="24"/>
      <c r="MAJ7" s="24"/>
      <c r="MAK7" s="24"/>
      <c r="MAL7" s="24"/>
      <c r="MAM7" s="24"/>
      <c r="MAN7" s="24"/>
      <c r="MAO7" s="24"/>
      <c r="MAP7" s="24"/>
      <c r="MAQ7" s="24"/>
      <c r="MAR7" s="24"/>
      <c r="MAS7" s="24"/>
      <c r="MAT7" s="24"/>
      <c r="MAU7" s="24"/>
      <c r="MAV7" s="24"/>
      <c r="MAW7" s="24"/>
      <c r="MAX7" s="24"/>
      <c r="MAY7" s="24"/>
      <c r="MAZ7" s="24"/>
      <c r="MBA7" s="24"/>
      <c r="MBB7" s="24"/>
      <c r="MBC7" s="24"/>
      <c r="MBD7" s="24"/>
      <c r="MBE7" s="24"/>
      <c r="MBF7" s="24"/>
      <c r="MBG7" s="24"/>
      <c r="MBH7" s="24"/>
      <c r="MBI7" s="24"/>
      <c r="MBJ7" s="24"/>
      <c r="MBK7" s="24"/>
      <c r="MBL7" s="24"/>
      <c r="MBM7" s="24"/>
      <c r="MBN7" s="24"/>
      <c r="MBO7" s="24"/>
      <c r="MBP7" s="24"/>
      <c r="MBQ7" s="24"/>
      <c r="MBR7" s="24"/>
      <c r="MBS7" s="24"/>
      <c r="MBT7" s="24"/>
      <c r="MBU7" s="24"/>
      <c r="MBV7" s="24"/>
      <c r="MBW7" s="24"/>
      <c r="MBX7" s="24"/>
      <c r="MBY7" s="24"/>
      <c r="MBZ7" s="24"/>
      <c r="MCA7" s="24"/>
      <c r="MCB7" s="24"/>
      <c r="MCC7" s="24"/>
      <c r="MCD7" s="24"/>
      <c r="MCE7" s="24"/>
      <c r="MCF7" s="24"/>
      <c r="MCG7" s="24"/>
      <c r="MCH7" s="24"/>
      <c r="MCI7" s="24"/>
      <c r="MCJ7" s="24"/>
      <c r="MCK7" s="24"/>
      <c r="MCL7" s="24"/>
      <c r="MCM7" s="24"/>
      <c r="MCN7" s="24"/>
      <c r="MCO7" s="24"/>
      <c r="MCP7" s="24"/>
      <c r="MCQ7" s="24"/>
      <c r="MCR7" s="24"/>
      <c r="MCS7" s="24"/>
      <c r="MCT7" s="24"/>
      <c r="MCU7" s="24"/>
      <c r="MCV7" s="24"/>
      <c r="MCW7" s="24"/>
      <c r="MCX7" s="24"/>
      <c r="MCY7" s="24"/>
      <c r="MCZ7" s="24"/>
      <c r="MDA7" s="24"/>
      <c r="MDB7" s="24"/>
      <c r="MDC7" s="24"/>
      <c r="MDD7" s="24"/>
      <c r="MDE7" s="24"/>
      <c r="MDF7" s="24"/>
      <c r="MDG7" s="24"/>
      <c r="MDH7" s="24"/>
      <c r="MDI7" s="24"/>
      <c r="MDJ7" s="24"/>
      <c r="MDK7" s="24"/>
      <c r="MDL7" s="24"/>
      <c r="MDM7" s="24"/>
      <c r="MDN7" s="24"/>
      <c r="MDO7" s="24"/>
      <c r="MDP7" s="24"/>
      <c r="MDQ7" s="24"/>
      <c r="MDR7" s="24"/>
      <c r="MDS7" s="24"/>
      <c r="MDT7" s="24"/>
      <c r="MDU7" s="24"/>
      <c r="MDV7" s="24"/>
      <c r="MDW7" s="24"/>
      <c r="MDX7" s="24"/>
      <c r="MDY7" s="24"/>
      <c r="MDZ7" s="24"/>
      <c r="MEA7" s="24"/>
      <c r="MEB7" s="24"/>
      <c r="MEC7" s="24"/>
      <c r="MED7" s="24"/>
      <c r="MEE7" s="24"/>
      <c r="MEF7" s="24"/>
      <c r="MEG7" s="24"/>
      <c r="MEH7" s="24"/>
      <c r="MEI7" s="24"/>
      <c r="MEJ7" s="24"/>
      <c r="MEK7" s="24"/>
      <c r="MEL7" s="24"/>
      <c r="MEM7" s="24"/>
      <c r="MEN7" s="24"/>
      <c r="MEO7" s="24"/>
      <c r="MEP7" s="24"/>
      <c r="MEQ7" s="24"/>
      <c r="MER7" s="24"/>
      <c r="MES7" s="24"/>
      <c r="MET7" s="24"/>
      <c r="MEU7" s="24"/>
      <c r="MEV7" s="24"/>
      <c r="MEW7" s="24"/>
      <c r="MEX7" s="24"/>
      <c r="MEY7" s="24"/>
      <c r="MEZ7" s="24"/>
      <c r="MFA7" s="24"/>
      <c r="MFB7" s="24"/>
      <c r="MFC7" s="24"/>
      <c r="MFD7" s="24"/>
      <c r="MFE7" s="24"/>
      <c r="MFF7" s="24"/>
      <c r="MFG7" s="24"/>
      <c r="MFH7" s="24"/>
      <c r="MFI7" s="24"/>
      <c r="MFJ7" s="24"/>
      <c r="MFK7" s="24"/>
      <c r="MFL7" s="24"/>
      <c r="MFM7" s="24"/>
      <c r="MFN7" s="24"/>
      <c r="MFO7" s="24"/>
      <c r="MFP7" s="24"/>
      <c r="MFQ7" s="24"/>
      <c r="MFR7" s="24"/>
      <c r="MFS7" s="24"/>
      <c r="MFT7" s="24"/>
      <c r="MFU7" s="24"/>
      <c r="MFV7" s="24"/>
      <c r="MFW7" s="24"/>
      <c r="MFX7" s="24"/>
      <c r="MFY7" s="24"/>
      <c r="MFZ7" s="24"/>
      <c r="MGA7" s="24"/>
      <c r="MGB7" s="24"/>
      <c r="MGC7" s="24"/>
      <c r="MGD7" s="24"/>
      <c r="MGE7" s="24"/>
      <c r="MGF7" s="24"/>
      <c r="MGG7" s="24"/>
      <c r="MGH7" s="24"/>
      <c r="MGI7" s="24"/>
      <c r="MGJ7" s="24"/>
      <c r="MGK7" s="24"/>
      <c r="MGL7" s="24"/>
      <c r="MGM7" s="24"/>
      <c r="MGN7" s="24"/>
      <c r="MGO7" s="24"/>
      <c r="MGP7" s="24"/>
      <c r="MGQ7" s="24"/>
      <c r="MGR7" s="24"/>
      <c r="MGS7" s="24"/>
      <c r="MGT7" s="24"/>
      <c r="MGU7" s="24"/>
      <c r="MGV7" s="24"/>
      <c r="MGW7" s="24"/>
      <c r="MGX7" s="24"/>
      <c r="MGY7" s="24"/>
      <c r="MGZ7" s="24"/>
      <c r="MHA7" s="24"/>
      <c r="MHB7" s="24"/>
      <c r="MHC7" s="24"/>
      <c r="MHD7" s="24"/>
      <c r="MHE7" s="24"/>
      <c r="MHF7" s="24"/>
      <c r="MHG7" s="24"/>
      <c r="MHH7" s="24"/>
      <c r="MHI7" s="24"/>
      <c r="MHJ7" s="24"/>
      <c r="MHK7" s="24"/>
      <c r="MHL7" s="24"/>
      <c r="MHM7" s="24"/>
      <c r="MHN7" s="24"/>
      <c r="MHO7" s="24"/>
      <c r="MHP7" s="24"/>
      <c r="MHQ7" s="24"/>
      <c r="MHR7" s="24"/>
      <c r="MHS7" s="24"/>
      <c r="MHT7" s="24"/>
      <c r="MHU7" s="24"/>
      <c r="MHV7" s="24"/>
      <c r="MHW7" s="24"/>
      <c r="MHX7" s="24"/>
      <c r="MHY7" s="24"/>
      <c r="MHZ7" s="24"/>
      <c r="MIA7" s="24"/>
      <c r="MIB7" s="24"/>
      <c r="MIC7" s="24"/>
      <c r="MID7" s="24"/>
      <c r="MIE7" s="24"/>
      <c r="MIF7" s="24"/>
      <c r="MIG7" s="24"/>
      <c r="MIH7" s="24"/>
      <c r="MII7" s="24"/>
      <c r="MIJ7" s="24"/>
      <c r="MIK7" s="24"/>
      <c r="MIL7" s="24"/>
      <c r="MIM7" s="24"/>
      <c r="MIN7" s="24"/>
      <c r="MIO7" s="24"/>
      <c r="MIP7" s="24"/>
      <c r="MIQ7" s="24"/>
      <c r="MIR7" s="24"/>
      <c r="MIS7" s="24"/>
      <c r="MIT7" s="24"/>
      <c r="MIU7" s="24"/>
      <c r="MIV7" s="24"/>
      <c r="MIW7" s="24"/>
      <c r="MIX7" s="24"/>
      <c r="MIY7" s="24"/>
      <c r="MIZ7" s="24"/>
      <c r="MJA7" s="24"/>
      <c r="MJB7" s="24"/>
      <c r="MJC7" s="24"/>
      <c r="MJD7" s="24"/>
      <c r="MJE7" s="24"/>
      <c r="MJF7" s="24"/>
      <c r="MJG7" s="24"/>
      <c r="MJH7" s="24"/>
      <c r="MJI7" s="24"/>
      <c r="MJJ7" s="24"/>
      <c r="MJK7" s="24"/>
      <c r="MJL7" s="24"/>
      <c r="MJM7" s="24"/>
      <c r="MJN7" s="24"/>
      <c r="MJO7" s="24"/>
      <c r="MJP7" s="24"/>
      <c r="MJQ7" s="24"/>
      <c r="MJR7" s="24"/>
      <c r="MJS7" s="24"/>
      <c r="MJT7" s="24"/>
      <c r="MJU7" s="24"/>
      <c r="MJV7" s="24"/>
      <c r="MJW7" s="24"/>
      <c r="MJX7" s="24"/>
      <c r="MJY7" s="24"/>
      <c r="MJZ7" s="24"/>
      <c r="MKA7" s="24"/>
      <c r="MKB7" s="24"/>
      <c r="MKC7" s="24"/>
      <c r="MKD7" s="24"/>
      <c r="MKE7" s="24"/>
      <c r="MKF7" s="24"/>
      <c r="MKG7" s="24"/>
      <c r="MKH7" s="24"/>
      <c r="MKI7" s="24"/>
      <c r="MKJ7" s="24"/>
      <c r="MKK7" s="24"/>
      <c r="MKL7" s="24"/>
      <c r="MKM7" s="24"/>
      <c r="MKN7" s="24"/>
      <c r="MKO7" s="24"/>
      <c r="MKP7" s="24"/>
      <c r="MKQ7" s="24"/>
      <c r="MKR7" s="24"/>
      <c r="MKS7" s="24"/>
      <c r="MKT7" s="24"/>
      <c r="MKU7" s="24"/>
      <c r="MKV7" s="24"/>
      <c r="MKW7" s="24"/>
      <c r="MKX7" s="24"/>
      <c r="MKY7" s="24"/>
      <c r="MKZ7" s="24"/>
      <c r="MLA7" s="24"/>
      <c r="MLB7" s="24"/>
      <c r="MLC7" s="24"/>
      <c r="MLD7" s="24"/>
      <c r="MLE7" s="24"/>
      <c r="MLF7" s="24"/>
      <c r="MLG7" s="24"/>
      <c r="MLH7" s="24"/>
      <c r="MLI7" s="24"/>
      <c r="MLJ7" s="24"/>
      <c r="MLK7" s="24"/>
      <c r="MLL7" s="24"/>
      <c r="MLM7" s="24"/>
      <c r="MLN7" s="24"/>
      <c r="MLO7" s="24"/>
      <c r="MLP7" s="24"/>
      <c r="MLQ7" s="24"/>
      <c r="MLR7" s="24"/>
      <c r="MLS7" s="24"/>
      <c r="MLT7" s="24"/>
      <c r="MLU7" s="24"/>
      <c r="MLV7" s="24"/>
      <c r="MLW7" s="24"/>
      <c r="MLX7" s="24"/>
      <c r="MLY7" s="24"/>
      <c r="MLZ7" s="24"/>
      <c r="MMA7" s="24"/>
      <c r="MMB7" s="24"/>
      <c r="MMC7" s="24"/>
      <c r="MMD7" s="24"/>
      <c r="MME7" s="24"/>
      <c r="MMF7" s="24"/>
      <c r="MMG7" s="24"/>
      <c r="MMH7" s="24"/>
      <c r="MMI7" s="24"/>
      <c r="MMJ7" s="24"/>
      <c r="MMK7" s="24"/>
      <c r="MML7" s="24"/>
      <c r="MMM7" s="24"/>
      <c r="MMN7" s="24"/>
      <c r="MMO7" s="24"/>
      <c r="MMP7" s="24"/>
      <c r="MMQ7" s="24"/>
      <c r="MMR7" s="24"/>
      <c r="MMS7" s="24"/>
      <c r="MMT7" s="24"/>
      <c r="MMU7" s="24"/>
      <c r="MMV7" s="24"/>
      <c r="MMW7" s="24"/>
      <c r="MMX7" s="24"/>
      <c r="MMY7" s="24"/>
      <c r="MMZ7" s="24"/>
      <c r="MNA7" s="24"/>
      <c r="MNB7" s="24"/>
      <c r="MNC7" s="24"/>
      <c r="MND7" s="24"/>
      <c r="MNE7" s="24"/>
      <c r="MNF7" s="24"/>
      <c r="MNG7" s="24"/>
      <c r="MNH7" s="24"/>
      <c r="MNI7" s="24"/>
      <c r="MNJ7" s="24"/>
      <c r="MNK7" s="24"/>
      <c r="MNL7" s="24"/>
      <c r="MNM7" s="24"/>
      <c r="MNN7" s="24"/>
      <c r="MNO7" s="24"/>
      <c r="MNP7" s="24"/>
      <c r="MNQ7" s="24"/>
      <c r="MNR7" s="24"/>
      <c r="MNS7" s="24"/>
      <c r="MNT7" s="24"/>
      <c r="MNU7" s="24"/>
      <c r="MNV7" s="24"/>
      <c r="MNW7" s="24"/>
      <c r="MNX7" s="24"/>
      <c r="MNY7" s="24"/>
      <c r="MNZ7" s="24"/>
      <c r="MOA7" s="24"/>
      <c r="MOB7" s="24"/>
      <c r="MOC7" s="24"/>
      <c r="MOD7" s="24"/>
      <c r="MOE7" s="24"/>
      <c r="MOF7" s="24"/>
      <c r="MOG7" s="24"/>
      <c r="MOH7" s="24"/>
      <c r="MOI7" s="24"/>
      <c r="MOJ7" s="24"/>
      <c r="MOK7" s="24"/>
      <c r="MOL7" s="24"/>
      <c r="MOM7" s="24"/>
      <c r="MON7" s="24"/>
      <c r="MOO7" s="24"/>
      <c r="MOP7" s="24"/>
      <c r="MOQ7" s="24"/>
      <c r="MOR7" s="24"/>
      <c r="MOS7" s="24"/>
      <c r="MOT7" s="24"/>
      <c r="MOU7" s="24"/>
      <c r="MOV7" s="24"/>
      <c r="MOW7" s="24"/>
      <c r="MOX7" s="24"/>
      <c r="MOY7" s="24"/>
      <c r="MOZ7" s="24"/>
      <c r="MPA7" s="24"/>
      <c r="MPB7" s="24"/>
      <c r="MPC7" s="24"/>
      <c r="MPD7" s="24"/>
      <c r="MPE7" s="24"/>
      <c r="MPF7" s="24"/>
      <c r="MPG7" s="24"/>
      <c r="MPH7" s="24"/>
      <c r="MPI7" s="24"/>
      <c r="MPJ7" s="24"/>
      <c r="MPK7" s="24"/>
      <c r="MPL7" s="24"/>
      <c r="MPM7" s="24"/>
      <c r="MPN7" s="24"/>
      <c r="MPO7" s="24"/>
      <c r="MPP7" s="24"/>
      <c r="MPQ7" s="24"/>
      <c r="MPR7" s="24"/>
      <c r="MPS7" s="24"/>
      <c r="MPT7" s="24"/>
      <c r="MPU7" s="24"/>
      <c r="MPV7" s="24"/>
      <c r="MPW7" s="24"/>
      <c r="MPX7" s="24"/>
      <c r="MPY7" s="24"/>
      <c r="MPZ7" s="24"/>
      <c r="MQA7" s="24"/>
      <c r="MQB7" s="24"/>
      <c r="MQC7" s="24"/>
      <c r="MQD7" s="24"/>
      <c r="MQE7" s="24"/>
      <c r="MQF7" s="24"/>
      <c r="MQG7" s="24"/>
      <c r="MQH7" s="24"/>
      <c r="MQI7" s="24"/>
      <c r="MQJ7" s="24"/>
      <c r="MQK7" s="24"/>
      <c r="MQL7" s="24"/>
      <c r="MQM7" s="24"/>
      <c r="MQN7" s="24"/>
      <c r="MQO7" s="24"/>
      <c r="MQP7" s="24"/>
      <c r="MQQ7" s="24"/>
      <c r="MQR7" s="24"/>
      <c r="MQS7" s="24"/>
      <c r="MQT7" s="24"/>
      <c r="MQU7" s="24"/>
      <c r="MQV7" s="24"/>
      <c r="MQW7" s="24"/>
      <c r="MQX7" s="24"/>
      <c r="MQY7" s="24"/>
      <c r="MQZ7" s="24"/>
      <c r="MRA7" s="24"/>
      <c r="MRB7" s="24"/>
      <c r="MRC7" s="24"/>
      <c r="MRD7" s="24"/>
      <c r="MRE7" s="24"/>
      <c r="MRF7" s="24"/>
      <c r="MRG7" s="24"/>
      <c r="MRH7" s="24"/>
      <c r="MRI7" s="24"/>
      <c r="MRJ7" s="24"/>
      <c r="MRK7" s="24"/>
      <c r="MRL7" s="24"/>
      <c r="MRM7" s="24"/>
      <c r="MRN7" s="24"/>
      <c r="MRO7" s="24"/>
      <c r="MRP7" s="24"/>
      <c r="MRQ7" s="24"/>
      <c r="MRR7" s="24"/>
      <c r="MRS7" s="24"/>
      <c r="MRT7" s="24"/>
      <c r="MRU7" s="24"/>
      <c r="MRV7" s="24"/>
      <c r="MRW7" s="24"/>
      <c r="MRX7" s="24"/>
      <c r="MRY7" s="24"/>
      <c r="MRZ7" s="24"/>
      <c r="MSA7" s="24"/>
      <c r="MSB7" s="24"/>
      <c r="MSC7" s="24"/>
      <c r="MSD7" s="24"/>
      <c r="MSE7" s="24"/>
      <c r="MSF7" s="24"/>
      <c r="MSG7" s="24"/>
      <c r="MSH7" s="24"/>
      <c r="MSI7" s="24"/>
      <c r="MSJ7" s="24"/>
      <c r="MSK7" s="24"/>
      <c r="MSL7" s="24"/>
      <c r="MSM7" s="24"/>
      <c r="MSN7" s="24"/>
      <c r="MSO7" s="24"/>
      <c r="MSP7" s="24"/>
      <c r="MSQ7" s="24"/>
      <c r="MSR7" s="24"/>
      <c r="MSS7" s="24"/>
      <c r="MST7" s="24"/>
      <c r="MSU7" s="24"/>
      <c r="MSV7" s="24"/>
      <c r="MSW7" s="24"/>
      <c r="MSX7" s="24"/>
      <c r="MSY7" s="24"/>
      <c r="MSZ7" s="24"/>
      <c r="MTA7" s="24"/>
      <c r="MTB7" s="24"/>
      <c r="MTC7" s="24"/>
      <c r="MTD7" s="24"/>
      <c r="MTE7" s="24"/>
      <c r="MTF7" s="24"/>
      <c r="MTG7" s="24"/>
      <c r="MTH7" s="24"/>
      <c r="MTI7" s="24"/>
      <c r="MTJ7" s="24"/>
      <c r="MTK7" s="24"/>
      <c r="MTL7" s="24"/>
      <c r="MTM7" s="24"/>
      <c r="MTN7" s="24"/>
      <c r="MTO7" s="24"/>
      <c r="MTP7" s="24"/>
      <c r="MTQ7" s="24"/>
      <c r="MTR7" s="24"/>
      <c r="MTS7" s="24"/>
      <c r="MTT7" s="24"/>
      <c r="MTU7" s="24"/>
      <c r="MTV7" s="24"/>
      <c r="MTW7" s="24"/>
      <c r="MTX7" s="24"/>
      <c r="MTY7" s="24"/>
      <c r="MTZ7" s="24"/>
      <c r="MUA7" s="24"/>
      <c r="MUB7" s="24"/>
      <c r="MUC7" s="24"/>
      <c r="MUD7" s="24"/>
      <c r="MUE7" s="24"/>
      <c r="MUF7" s="24"/>
      <c r="MUG7" s="24"/>
      <c r="MUH7" s="24"/>
      <c r="MUI7" s="24"/>
      <c r="MUJ7" s="24"/>
      <c r="MUK7" s="24"/>
      <c r="MUL7" s="24"/>
      <c r="MUM7" s="24"/>
      <c r="MUN7" s="24"/>
      <c r="MUO7" s="24"/>
      <c r="MUP7" s="24"/>
      <c r="MUQ7" s="24"/>
      <c r="MUR7" s="24"/>
      <c r="MUS7" s="24"/>
      <c r="MUT7" s="24"/>
      <c r="MUU7" s="24"/>
      <c r="MUV7" s="24"/>
      <c r="MUW7" s="24"/>
      <c r="MUX7" s="24"/>
      <c r="MUY7" s="24"/>
      <c r="MUZ7" s="24"/>
      <c r="MVA7" s="24"/>
      <c r="MVB7" s="24"/>
      <c r="MVC7" s="24"/>
      <c r="MVD7" s="24"/>
      <c r="MVE7" s="24"/>
      <c r="MVF7" s="24"/>
      <c r="MVG7" s="24"/>
      <c r="MVH7" s="24"/>
      <c r="MVI7" s="24"/>
      <c r="MVJ7" s="24"/>
      <c r="MVK7" s="24"/>
      <c r="MVL7" s="24"/>
      <c r="MVM7" s="24"/>
      <c r="MVN7" s="24"/>
      <c r="MVO7" s="24"/>
      <c r="MVP7" s="24"/>
      <c r="MVQ7" s="24"/>
      <c r="MVR7" s="24"/>
      <c r="MVS7" s="24"/>
      <c r="MVT7" s="24"/>
      <c r="MVU7" s="24"/>
      <c r="MVV7" s="24"/>
      <c r="MVW7" s="24"/>
      <c r="MVX7" s="24"/>
      <c r="MVY7" s="24"/>
      <c r="MVZ7" s="24"/>
      <c r="MWA7" s="24"/>
      <c r="MWB7" s="24"/>
      <c r="MWC7" s="24"/>
      <c r="MWD7" s="24"/>
      <c r="MWE7" s="24"/>
      <c r="MWF7" s="24"/>
      <c r="MWG7" s="24"/>
      <c r="MWH7" s="24"/>
      <c r="MWI7" s="24"/>
      <c r="MWJ7" s="24"/>
      <c r="MWK7" s="24"/>
      <c r="MWL7" s="24"/>
      <c r="MWM7" s="24"/>
      <c r="MWN7" s="24"/>
      <c r="MWO7" s="24"/>
      <c r="MWP7" s="24"/>
      <c r="MWQ7" s="24"/>
      <c r="MWR7" s="24"/>
      <c r="MWS7" s="24"/>
      <c r="MWT7" s="24"/>
      <c r="MWU7" s="24"/>
      <c r="MWV7" s="24"/>
      <c r="MWW7" s="24"/>
      <c r="MWX7" s="24"/>
      <c r="MWY7" s="24"/>
      <c r="MWZ7" s="24"/>
      <c r="MXA7" s="24"/>
      <c r="MXB7" s="24"/>
      <c r="MXC7" s="24"/>
      <c r="MXD7" s="24"/>
      <c r="MXE7" s="24"/>
      <c r="MXF7" s="24"/>
      <c r="MXG7" s="24"/>
      <c r="MXH7" s="24"/>
      <c r="MXI7" s="24"/>
      <c r="MXJ7" s="24"/>
      <c r="MXK7" s="24"/>
      <c r="MXL7" s="24"/>
      <c r="MXM7" s="24"/>
      <c r="MXN7" s="24"/>
      <c r="MXO7" s="24"/>
      <c r="MXP7" s="24"/>
      <c r="MXQ7" s="24"/>
      <c r="MXR7" s="24"/>
      <c r="MXS7" s="24"/>
      <c r="MXT7" s="24"/>
      <c r="MXU7" s="24"/>
      <c r="MXV7" s="24"/>
      <c r="MXW7" s="24"/>
      <c r="MXX7" s="24"/>
      <c r="MXY7" s="24"/>
      <c r="MXZ7" s="24"/>
      <c r="MYA7" s="24"/>
      <c r="MYB7" s="24"/>
      <c r="MYC7" s="24"/>
      <c r="MYD7" s="24"/>
      <c r="MYE7" s="24"/>
      <c r="MYF7" s="24"/>
      <c r="MYG7" s="24"/>
      <c r="MYH7" s="24"/>
      <c r="MYI7" s="24"/>
      <c r="MYJ7" s="24"/>
      <c r="MYK7" s="24"/>
      <c r="MYL7" s="24"/>
      <c r="MYM7" s="24"/>
      <c r="MYN7" s="24"/>
      <c r="MYO7" s="24"/>
      <c r="MYP7" s="24"/>
      <c r="MYQ7" s="24"/>
      <c r="MYR7" s="24"/>
      <c r="MYS7" s="24"/>
      <c r="MYT7" s="24"/>
      <c r="MYU7" s="24"/>
      <c r="MYV7" s="24"/>
      <c r="MYW7" s="24"/>
      <c r="MYX7" s="24"/>
      <c r="MYY7" s="24"/>
      <c r="MYZ7" s="24"/>
      <c r="MZA7" s="24"/>
      <c r="MZB7" s="24"/>
      <c r="MZC7" s="24"/>
      <c r="MZD7" s="24"/>
      <c r="MZE7" s="24"/>
      <c r="MZF7" s="24"/>
      <c r="MZG7" s="24"/>
      <c r="MZH7" s="24"/>
      <c r="MZI7" s="24"/>
      <c r="MZJ7" s="24"/>
      <c r="MZK7" s="24"/>
      <c r="MZL7" s="24"/>
      <c r="MZM7" s="24"/>
      <c r="MZN7" s="24"/>
      <c r="MZO7" s="24"/>
      <c r="MZP7" s="24"/>
      <c r="MZQ7" s="24"/>
      <c r="MZR7" s="24"/>
      <c r="MZS7" s="24"/>
      <c r="MZT7" s="24"/>
      <c r="MZU7" s="24"/>
      <c r="MZV7" s="24"/>
      <c r="MZW7" s="24"/>
      <c r="MZX7" s="24"/>
      <c r="MZY7" s="24"/>
      <c r="MZZ7" s="24"/>
      <c r="NAA7" s="24"/>
      <c r="NAB7" s="24"/>
      <c r="NAC7" s="24"/>
      <c r="NAD7" s="24"/>
      <c r="NAE7" s="24"/>
      <c r="NAF7" s="24"/>
      <c r="NAG7" s="24"/>
      <c r="NAH7" s="24"/>
      <c r="NAI7" s="24"/>
      <c r="NAJ7" s="24"/>
      <c r="NAK7" s="24"/>
      <c r="NAL7" s="24"/>
      <c r="NAM7" s="24"/>
      <c r="NAN7" s="24"/>
      <c r="NAO7" s="24"/>
      <c r="NAP7" s="24"/>
      <c r="NAQ7" s="24"/>
      <c r="NAR7" s="24"/>
      <c r="NAS7" s="24"/>
      <c r="NAT7" s="24"/>
      <c r="NAU7" s="24"/>
      <c r="NAV7" s="24"/>
      <c r="NAW7" s="24"/>
      <c r="NAX7" s="24"/>
      <c r="NAY7" s="24"/>
      <c r="NAZ7" s="24"/>
      <c r="NBA7" s="24"/>
      <c r="NBB7" s="24"/>
      <c r="NBC7" s="24"/>
      <c r="NBD7" s="24"/>
      <c r="NBE7" s="24"/>
      <c r="NBF7" s="24"/>
      <c r="NBG7" s="24"/>
      <c r="NBH7" s="24"/>
      <c r="NBI7" s="24"/>
      <c r="NBJ7" s="24"/>
      <c r="NBK7" s="24"/>
      <c r="NBL7" s="24"/>
      <c r="NBM7" s="24"/>
      <c r="NBN7" s="24"/>
      <c r="NBO7" s="24"/>
      <c r="NBP7" s="24"/>
      <c r="NBQ7" s="24"/>
      <c r="NBR7" s="24"/>
      <c r="NBS7" s="24"/>
      <c r="NBT7" s="24"/>
      <c r="NBU7" s="24"/>
      <c r="NBV7" s="24"/>
      <c r="NBW7" s="24"/>
      <c r="NBX7" s="24"/>
      <c r="NBY7" s="24"/>
      <c r="NBZ7" s="24"/>
      <c r="NCA7" s="24"/>
      <c r="NCB7" s="24"/>
      <c r="NCC7" s="24"/>
      <c r="NCD7" s="24"/>
      <c r="NCE7" s="24"/>
      <c r="NCF7" s="24"/>
      <c r="NCG7" s="24"/>
      <c r="NCH7" s="24"/>
      <c r="NCI7" s="24"/>
      <c r="NCJ7" s="24"/>
      <c r="NCK7" s="24"/>
      <c r="NCL7" s="24"/>
      <c r="NCM7" s="24"/>
      <c r="NCN7" s="24"/>
      <c r="NCO7" s="24"/>
      <c r="NCP7" s="24"/>
      <c r="NCQ7" s="24"/>
      <c r="NCR7" s="24"/>
      <c r="NCS7" s="24"/>
      <c r="NCT7" s="24"/>
      <c r="NCU7" s="24"/>
      <c r="NCV7" s="24"/>
      <c r="NCW7" s="24"/>
      <c r="NCX7" s="24"/>
      <c r="NCY7" s="24"/>
      <c r="NCZ7" s="24"/>
      <c r="NDA7" s="24"/>
      <c r="NDB7" s="24"/>
      <c r="NDC7" s="24"/>
      <c r="NDD7" s="24"/>
      <c r="NDE7" s="24"/>
      <c r="NDF7" s="24"/>
      <c r="NDG7" s="24"/>
      <c r="NDH7" s="24"/>
      <c r="NDI7" s="24"/>
      <c r="NDJ7" s="24"/>
      <c r="NDK7" s="24"/>
      <c r="NDL7" s="24"/>
      <c r="NDM7" s="24"/>
      <c r="NDN7" s="24"/>
      <c r="NDO7" s="24"/>
      <c r="NDP7" s="24"/>
      <c r="NDQ7" s="24"/>
      <c r="NDR7" s="24"/>
      <c r="NDS7" s="24"/>
      <c r="NDT7" s="24"/>
      <c r="NDU7" s="24"/>
      <c r="NDV7" s="24"/>
      <c r="NDW7" s="24"/>
      <c r="NDX7" s="24"/>
      <c r="NDY7" s="24"/>
      <c r="NDZ7" s="24"/>
      <c r="NEA7" s="24"/>
      <c r="NEB7" s="24"/>
      <c r="NEC7" s="24"/>
      <c r="NED7" s="24"/>
      <c r="NEE7" s="24"/>
      <c r="NEF7" s="24"/>
      <c r="NEG7" s="24"/>
      <c r="NEH7" s="24"/>
      <c r="NEI7" s="24"/>
      <c r="NEJ7" s="24"/>
      <c r="NEK7" s="24"/>
      <c r="NEL7" s="24"/>
      <c r="NEM7" s="24"/>
      <c r="NEN7" s="24"/>
      <c r="NEO7" s="24"/>
      <c r="NEP7" s="24"/>
      <c r="NEQ7" s="24"/>
      <c r="NER7" s="24"/>
      <c r="NES7" s="24"/>
      <c r="NET7" s="24"/>
      <c r="NEU7" s="24"/>
      <c r="NEV7" s="24"/>
      <c r="NEW7" s="24"/>
      <c r="NEX7" s="24"/>
      <c r="NEY7" s="24"/>
      <c r="NEZ7" s="24"/>
      <c r="NFA7" s="24"/>
      <c r="NFB7" s="24"/>
      <c r="NFC7" s="24"/>
      <c r="NFD7" s="24"/>
      <c r="NFE7" s="24"/>
      <c r="NFF7" s="24"/>
      <c r="NFG7" s="24"/>
      <c r="NFH7" s="24"/>
      <c r="NFI7" s="24"/>
      <c r="NFJ7" s="24"/>
      <c r="NFK7" s="24"/>
      <c r="NFL7" s="24"/>
      <c r="NFM7" s="24"/>
      <c r="NFN7" s="24"/>
      <c r="NFO7" s="24"/>
      <c r="NFP7" s="24"/>
      <c r="NFQ7" s="24"/>
      <c r="NFR7" s="24"/>
      <c r="NFS7" s="24"/>
      <c r="NFT7" s="24"/>
      <c r="NFU7" s="24"/>
      <c r="NFV7" s="24"/>
      <c r="NFW7" s="24"/>
      <c r="NFX7" s="24"/>
      <c r="NFY7" s="24"/>
      <c r="NFZ7" s="24"/>
      <c r="NGA7" s="24"/>
      <c r="NGB7" s="24"/>
      <c r="NGC7" s="24"/>
      <c r="NGD7" s="24"/>
      <c r="NGE7" s="24"/>
      <c r="NGF7" s="24"/>
      <c r="NGG7" s="24"/>
      <c r="NGH7" s="24"/>
      <c r="NGI7" s="24"/>
      <c r="NGJ7" s="24"/>
      <c r="NGK7" s="24"/>
      <c r="NGL7" s="24"/>
      <c r="NGM7" s="24"/>
      <c r="NGN7" s="24"/>
      <c r="NGO7" s="24"/>
      <c r="NGP7" s="24"/>
      <c r="NGQ7" s="24"/>
      <c r="NGR7" s="24"/>
      <c r="NGS7" s="24"/>
      <c r="NGT7" s="24"/>
      <c r="NGU7" s="24"/>
      <c r="NGV7" s="24"/>
      <c r="NGW7" s="24"/>
      <c r="NGX7" s="24"/>
      <c r="NGY7" s="24"/>
      <c r="NGZ7" s="24"/>
      <c r="NHA7" s="24"/>
      <c r="NHB7" s="24"/>
      <c r="NHC7" s="24"/>
      <c r="NHD7" s="24"/>
      <c r="NHE7" s="24"/>
      <c r="NHF7" s="24"/>
      <c r="NHG7" s="24"/>
      <c r="NHH7" s="24"/>
      <c r="NHI7" s="24"/>
      <c r="NHJ7" s="24"/>
      <c r="NHK7" s="24"/>
      <c r="NHL7" s="24"/>
      <c r="NHM7" s="24"/>
      <c r="NHN7" s="24"/>
      <c r="NHO7" s="24"/>
      <c r="NHP7" s="24"/>
      <c r="NHQ7" s="24"/>
      <c r="NHR7" s="24"/>
      <c r="NHS7" s="24"/>
      <c r="NHT7" s="24"/>
      <c r="NHU7" s="24"/>
      <c r="NHV7" s="24"/>
      <c r="NHW7" s="24"/>
      <c r="NHX7" s="24"/>
      <c r="NHY7" s="24"/>
      <c r="NHZ7" s="24"/>
      <c r="NIA7" s="24"/>
      <c r="NIB7" s="24"/>
      <c r="NIC7" s="24"/>
      <c r="NID7" s="24"/>
      <c r="NIE7" s="24"/>
      <c r="NIF7" s="24"/>
      <c r="NIG7" s="24"/>
      <c r="NIH7" s="24"/>
      <c r="NII7" s="24"/>
      <c r="NIJ7" s="24"/>
      <c r="NIK7" s="24"/>
      <c r="NIL7" s="24"/>
      <c r="NIM7" s="24"/>
      <c r="NIN7" s="24"/>
      <c r="NIO7" s="24"/>
      <c r="NIP7" s="24"/>
      <c r="NIQ7" s="24"/>
      <c r="NIR7" s="24"/>
      <c r="NIS7" s="24"/>
      <c r="NIT7" s="24"/>
      <c r="NIU7" s="24"/>
      <c r="NIV7" s="24"/>
      <c r="NIW7" s="24"/>
      <c r="NIX7" s="24"/>
      <c r="NIY7" s="24"/>
      <c r="NIZ7" s="24"/>
      <c r="NJA7" s="24"/>
      <c r="NJB7" s="24"/>
      <c r="NJC7" s="24"/>
      <c r="NJD7" s="24"/>
      <c r="NJE7" s="24"/>
      <c r="NJF7" s="24"/>
      <c r="NJG7" s="24"/>
      <c r="NJH7" s="24"/>
      <c r="NJI7" s="24"/>
      <c r="NJJ7" s="24"/>
      <c r="NJK7" s="24"/>
      <c r="NJL7" s="24"/>
      <c r="NJM7" s="24"/>
      <c r="NJN7" s="24"/>
      <c r="NJO7" s="24"/>
      <c r="NJP7" s="24"/>
      <c r="NJQ7" s="24"/>
      <c r="NJR7" s="24"/>
      <c r="NJS7" s="24"/>
      <c r="NJT7" s="24"/>
      <c r="NJU7" s="24"/>
      <c r="NJV7" s="24"/>
      <c r="NJW7" s="24"/>
      <c r="NJX7" s="24"/>
      <c r="NJY7" s="24"/>
      <c r="NJZ7" s="24"/>
      <c r="NKA7" s="24"/>
      <c r="NKB7" s="24"/>
      <c r="NKC7" s="24"/>
      <c r="NKD7" s="24"/>
      <c r="NKE7" s="24"/>
      <c r="NKF7" s="24"/>
      <c r="NKG7" s="24"/>
      <c r="NKH7" s="24"/>
      <c r="NKI7" s="24"/>
      <c r="NKJ7" s="24"/>
      <c r="NKK7" s="24"/>
      <c r="NKL7" s="24"/>
      <c r="NKM7" s="24"/>
      <c r="NKN7" s="24"/>
      <c r="NKO7" s="24"/>
      <c r="NKP7" s="24"/>
      <c r="NKQ7" s="24"/>
      <c r="NKR7" s="24"/>
      <c r="NKS7" s="24"/>
      <c r="NKT7" s="24"/>
      <c r="NKU7" s="24"/>
      <c r="NKV7" s="24"/>
      <c r="NKW7" s="24"/>
      <c r="NKX7" s="24"/>
      <c r="NKY7" s="24"/>
      <c r="NKZ7" s="24"/>
      <c r="NLA7" s="24"/>
      <c r="NLB7" s="24"/>
      <c r="NLC7" s="24"/>
      <c r="NLD7" s="24"/>
      <c r="NLE7" s="24"/>
      <c r="NLF7" s="24"/>
      <c r="NLG7" s="24"/>
      <c r="NLH7" s="24"/>
      <c r="NLI7" s="24"/>
      <c r="NLJ7" s="24"/>
      <c r="NLK7" s="24"/>
      <c r="NLL7" s="24"/>
      <c r="NLM7" s="24"/>
      <c r="NLN7" s="24"/>
      <c r="NLO7" s="24"/>
      <c r="NLP7" s="24"/>
      <c r="NLQ7" s="24"/>
      <c r="NLR7" s="24"/>
      <c r="NLS7" s="24"/>
      <c r="NLT7" s="24"/>
      <c r="NLU7" s="24"/>
      <c r="NLV7" s="24"/>
      <c r="NLW7" s="24"/>
      <c r="NLX7" s="24"/>
      <c r="NLY7" s="24"/>
      <c r="NLZ7" s="24"/>
      <c r="NMA7" s="24"/>
      <c r="NMB7" s="24"/>
      <c r="NMC7" s="24"/>
      <c r="NMD7" s="24"/>
      <c r="NME7" s="24"/>
      <c r="NMF7" s="24"/>
      <c r="NMG7" s="24"/>
      <c r="NMH7" s="24"/>
      <c r="NMI7" s="24"/>
      <c r="NMJ7" s="24"/>
      <c r="NMK7" s="24"/>
      <c r="NML7" s="24"/>
      <c r="NMM7" s="24"/>
      <c r="NMN7" s="24"/>
      <c r="NMO7" s="24"/>
      <c r="NMP7" s="24"/>
      <c r="NMQ7" s="24"/>
      <c r="NMR7" s="24"/>
      <c r="NMS7" s="24"/>
      <c r="NMT7" s="24"/>
      <c r="NMU7" s="24"/>
      <c r="NMV7" s="24"/>
      <c r="NMW7" s="24"/>
      <c r="NMX7" s="24"/>
      <c r="NMY7" s="24"/>
      <c r="NMZ7" s="24"/>
      <c r="NNA7" s="24"/>
      <c r="NNB7" s="24"/>
      <c r="NNC7" s="24"/>
      <c r="NND7" s="24"/>
      <c r="NNE7" s="24"/>
      <c r="NNF7" s="24"/>
      <c r="NNG7" s="24"/>
      <c r="NNH7" s="24"/>
      <c r="NNI7" s="24"/>
      <c r="NNJ7" s="24"/>
      <c r="NNK7" s="24"/>
      <c r="NNL7" s="24"/>
      <c r="NNM7" s="24"/>
      <c r="NNN7" s="24"/>
      <c r="NNO7" s="24"/>
      <c r="NNP7" s="24"/>
      <c r="NNQ7" s="24"/>
      <c r="NNR7" s="24"/>
      <c r="NNS7" s="24"/>
      <c r="NNT7" s="24"/>
      <c r="NNU7" s="24"/>
      <c r="NNV7" s="24"/>
      <c r="NNW7" s="24"/>
      <c r="NNX7" s="24"/>
      <c r="NNY7" s="24"/>
      <c r="NNZ7" s="24"/>
      <c r="NOA7" s="24"/>
      <c r="NOB7" s="24"/>
      <c r="NOC7" s="24"/>
      <c r="NOD7" s="24"/>
      <c r="NOE7" s="24"/>
      <c r="NOF7" s="24"/>
      <c r="NOG7" s="24"/>
      <c r="NOH7" s="24"/>
      <c r="NOI7" s="24"/>
      <c r="NOJ7" s="24"/>
      <c r="NOK7" s="24"/>
      <c r="NOL7" s="24"/>
      <c r="NOM7" s="24"/>
      <c r="NON7" s="24"/>
      <c r="NOO7" s="24"/>
      <c r="NOP7" s="24"/>
      <c r="NOQ7" s="24"/>
      <c r="NOR7" s="24"/>
      <c r="NOS7" s="24"/>
      <c r="NOT7" s="24"/>
      <c r="NOU7" s="24"/>
      <c r="NOV7" s="24"/>
      <c r="NOW7" s="24"/>
      <c r="NOX7" s="24"/>
      <c r="NOY7" s="24"/>
      <c r="NOZ7" s="24"/>
      <c r="NPA7" s="24"/>
      <c r="NPB7" s="24"/>
      <c r="NPC7" s="24"/>
      <c r="NPD7" s="24"/>
      <c r="NPE7" s="24"/>
      <c r="NPF7" s="24"/>
      <c r="NPG7" s="24"/>
      <c r="NPH7" s="24"/>
      <c r="NPI7" s="24"/>
      <c r="NPJ7" s="24"/>
      <c r="NPK7" s="24"/>
      <c r="NPL7" s="24"/>
      <c r="NPM7" s="24"/>
      <c r="NPN7" s="24"/>
      <c r="NPO7" s="24"/>
      <c r="NPP7" s="24"/>
      <c r="NPQ7" s="24"/>
      <c r="NPR7" s="24"/>
      <c r="NPS7" s="24"/>
      <c r="NPT7" s="24"/>
      <c r="NPU7" s="24"/>
      <c r="NPV7" s="24"/>
      <c r="NPW7" s="24"/>
      <c r="NPX7" s="24"/>
      <c r="NPY7" s="24"/>
      <c r="NPZ7" s="24"/>
      <c r="NQA7" s="24"/>
      <c r="NQB7" s="24"/>
      <c r="NQC7" s="24"/>
      <c r="NQD7" s="24"/>
      <c r="NQE7" s="24"/>
      <c r="NQF7" s="24"/>
      <c r="NQG7" s="24"/>
      <c r="NQH7" s="24"/>
      <c r="NQI7" s="24"/>
      <c r="NQJ7" s="24"/>
      <c r="NQK7" s="24"/>
      <c r="NQL7" s="24"/>
      <c r="NQM7" s="24"/>
      <c r="NQN7" s="24"/>
      <c r="NQO7" s="24"/>
      <c r="NQP7" s="24"/>
      <c r="NQQ7" s="24"/>
      <c r="NQR7" s="24"/>
      <c r="NQS7" s="24"/>
      <c r="NQT7" s="24"/>
      <c r="NQU7" s="24"/>
      <c r="NQV7" s="24"/>
      <c r="NQW7" s="24"/>
      <c r="NQX7" s="24"/>
      <c r="NQY7" s="24"/>
      <c r="NQZ7" s="24"/>
      <c r="NRA7" s="24"/>
      <c r="NRB7" s="24"/>
      <c r="NRC7" s="24"/>
      <c r="NRD7" s="24"/>
      <c r="NRE7" s="24"/>
      <c r="NRF7" s="24"/>
      <c r="NRG7" s="24"/>
      <c r="NRH7" s="24"/>
      <c r="NRI7" s="24"/>
      <c r="NRJ7" s="24"/>
      <c r="NRK7" s="24"/>
      <c r="NRL7" s="24"/>
      <c r="NRM7" s="24"/>
      <c r="NRN7" s="24"/>
      <c r="NRO7" s="24"/>
      <c r="NRP7" s="24"/>
      <c r="NRQ7" s="24"/>
      <c r="NRR7" s="24"/>
      <c r="NRS7" s="24"/>
      <c r="NRT7" s="24"/>
      <c r="NRU7" s="24"/>
      <c r="NRV7" s="24"/>
      <c r="NRW7" s="24"/>
      <c r="NRX7" s="24"/>
      <c r="NRY7" s="24"/>
      <c r="NRZ7" s="24"/>
      <c r="NSA7" s="24"/>
      <c r="NSB7" s="24"/>
      <c r="NSC7" s="24"/>
      <c r="NSD7" s="24"/>
      <c r="NSE7" s="24"/>
      <c r="NSF7" s="24"/>
      <c r="NSG7" s="24"/>
      <c r="NSH7" s="24"/>
      <c r="NSI7" s="24"/>
      <c r="NSJ7" s="24"/>
      <c r="NSK7" s="24"/>
      <c r="NSL7" s="24"/>
      <c r="NSM7" s="24"/>
      <c r="NSN7" s="24"/>
      <c r="NSO7" s="24"/>
      <c r="NSP7" s="24"/>
      <c r="NSQ7" s="24"/>
      <c r="NSR7" s="24"/>
      <c r="NSS7" s="24"/>
      <c r="NST7" s="24"/>
      <c r="NSU7" s="24"/>
      <c r="NSV7" s="24"/>
      <c r="NSW7" s="24"/>
      <c r="NSX7" s="24"/>
      <c r="NSY7" s="24"/>
      <c r="NSZ7" s="24"/>
      <c r="NTA7" s="24"/>
      <c r="NTB7" s="24"/>
      <c r="NTC7" s="24"/>
      <c r="NTD7" s="24"/>
      <c r="NTE7" s="24"/>
      <c r="NTF7" s="24"/>
      <c r="NTG7" s="24"/>
      <c r="NTH7" s="24"/>
      <c r="NTI7" s="24"/>
      <c r="NTJ7" s="24"/>
      <c r="NTK7" s="24"/>
      <c r="NTL7" s="24"/>
      <c r="NTM7" s="24"/>
      <c r="NTN7" s="24"/>
      <c r="NTO7" s="24"/>
      <c r="NTP7" s="24"/>
      <c r="NTQ7" s="24"/>
      <c r="NTR7" s="24"/>
      <c r="NTS7" s="24"/>
      <c r="NTT7" s="24"/>
      <c r="NTU7" s="24"/>
      <c r="NTV7" s="24"/>
      <c r="NTW7" s="24"/>
      <c r="NTX7" s="24"/>
      <c r="NTY7" s="24"/>
      <c r="NTZ7" s="24"/>
      <c r="NUA7" s="24"/>
      <c r="NUB7" s="24"/>
      <c r="NUC7" s="24"/>
      <c r="NUD7" s="24"/>
      <c r="NUE7" s="24"/>
      <c r="NUF7" s="24"/>
      <c r="NUG7" s="24"/>
      <c r="NUH7" s="24"/>
      <c r="NUI7" s="24"/>
      <c r="NUJ7" s="24"/>
      <c r="NUK7" s="24"/>
      <c r="NUL7" s="24"/>
      <c r="NUM7" s="24"/>
      <c r="NUN7" s="24"/>
      <c r="NUO7" s="24"/>
      <c r="NUP7" s="24"/>
      <c r="NUQ7" s="24"/>
      <c r="NUR7" s="24"/>
      <c r="NUS7" s="24"/>
      <c r="NUT7" s="24"/>
      <c r="NUU7" s="24"/>
      <c r="NUV7" s="24"/>
      <c r="NUW7" s="24"/>
      <c r="NUX7" s="24"/>
      <c r="NUY7" s="24"/>
      <c r="NUZ7" s="24"/>
      <c r="NVA7" s="24"/>
      <c r="NVB7" s="24"/>
      <c r="NVC7" s="24"/>
      <c r="NVD7" s="24"/>
      <c r="NVE7" s="24"/>
      <c r="NVF7" s="24"/>
      <c r="NVG7" s="24"/>
      <c r="NVH7" s="24"/>
      <c r="NVI7" s="24"/>
      <c r="NVJ7" s="24"/>
      <c r="NVK7" s="24"/>
      <c r="NVL7" s="24"/>
      <c r="NVM7" s="24"/>
      <c r="NVN7" s="24"/>
      <c r="NVO7" s="24"/>
      <c r="NVP7" s="24"/>
      <c r="NVQ7" s="24"/>
      <c r="NVR7" s="24"/>
      <c r="NVS7" s="24"/>
      <c r="NVT7" s="24"/>
      <c r="NVU7" s="24"/>
      <c r="NVV7" s="24"/>
      <c r="NVW7" s="24"/>
      <c r="NVX7" s="24"/>
      <c r="NVY7" s="24"/>
      <c r="NVZ7" s="24"/>
      <c r="NWA7" s="24"/>
      <c r="NWB7" s="24"/>
      <c r="NWC7" s="24"/>
      <c r="NWD7" s="24"/>
      <c r="NWE7" s="24"/>
      <c r="NWF7" s="24"/>
      <c r="NWG7" s="24"/>
      <c r="NWH7" s="24"/>
      <c r="NWI7" s="24"/>
      <c r="NWJ7" s="24"/>
      <c r="NWK7" s="24"/>
      <c r="NWL7" s="24"/>
      <c r="NWM7" s="24"/>
      <c r="NWN7" s="24"/>
      <c r="NWO7" s="24"/>
      <c r="NWP7" s="24"/>
      <c r="NWQ7" s="24"/>
      <c r="NWR7" s="24"/>
      <c r="NWS7" s="24"/>
      <c r="NWT7" s="24"/>
      <c r="NWU7" s="24"/>
      <c r="NWV7" s="24"/>
      <c r="NWW7" s="24"/>
      <c r="NWX7" s="24"/>
      <c r="NWY7" s="24"/>
      <c r="NWZ7" s="24"/>
      <c r="NXA7" s="24"/>
      <c r="NXB7" s="24"/>
      <c r="NXC7" s="24"/>
      <c r="NXD7" s="24"/>
      <c r="NXE7" s="24"/>
      <c r="NXF7" s="24"/>
      <c r="NXG7" s="24"/>
      <c r="NXH7" s="24"/>
      <c r="NXI7" s="24"/>
      <c r="NXJ7" s="24"/>
      <c r="NXK7" s="24"/>
      <c r="NXL7" s="24"/>
      <c r="NXM7" s="24"/>
      <c r="NXN7" s="24"/>
      <c r="NXO7" s="24"/>
      <c r="NXP7" s="24"/>
      <c r="NXQ7" s="24"/>
      <c r="NXR7" s="24"/>
      <c r="NXS7" s="24"/>
      <c r="NXT7" s="24"/>
      <c r="NXU7" s="24"/>
      <c r="NXV7" s="24"/>
      <c r="NXW7" s="24"/>
      <c r="NXX7" s="24"/>
      <c r="NXY7" s="24"/>
      <c r="NXZ7" s="24"/>
      <c r="NYA7" s="24"/>
      <c r="NYB7" s="24"/>
      <c r="NYC7" s="24"/>
      <c r="NYD7" s="24"/>
      <c r="NYE7" s="24"/>
      <c r="NYF7" s="24"/>
      <c r="NYG7" s="24"/>
      <c r="NYH7" s="24"/>
      <c r="NYI7" s="24"/>
      <c r="NYJ7" s="24"/>
      <c r="NYK7" s="24"/>
      <c r="NYL7" s="24"/>
      <c r="NYM7" s="24"/>
      <c r="NYN7" s="24"/>
      <c r="NYO7" s="24"/>
      <c r="NYP7" s="24"/>
      <c r="NYQ7" s="24"/>
      <c r="NYR7" s="24"/>
      <c r="NYS7" s="24"/>
      <c r="NYT7" s="24"/>
      <c r="NYU7" s="24"/>
      <c r="NYV7" s="24"/>
      <c r="NYW7" s="24"/>
      <c r="NYX7" s="24"/>
      <c r="NYY7" s="24"/>
      <c r="NYZ7" s="24"/>
      <c r="NZA7" s="24"/>
      <c r="NZB7" s="24"/>
      <c r="NZC7" s="24"/>
      <c r="NZD7" s="24"/>
      <c r="NZE7" s="24"/>
      <c r="NZF7" s="24"/>
      <c r="NZG7" s="24"/>
      <c r="NZH7" s="24"/>
      <c r="NZI7" s="24"/>
      <c r="NZJ7" s="24"/>
      <c r="NZK7" s="24"/>
      <c r="NZL7" s="24"/>
      <c r="NZM7" s="24"/>
      <c r="NZN7" s="24"/>
      <c r="NZO7" s="24"/>
      <c r="NZP7" s="24"/>
      <c r="NZQ7" s="24"/>
      <c r="NZR7" s="24"/>
      <c r="NZS7" s="24"/>
      <c r="NZT7" s="24"/>
      <c r="NZU7" s="24"/>
      <c r="NZV7" s="24"/>
      <c r="NZW7" s="24"/>
      <c r="NZX7" s="24"/>
      <c r="NZY7" s="24"/>
      <c r="NZZ7" s="24"/>
      <c r="OAA7" s="24"/>
      <c r="OAB7" s="24"/>
      <c r="OAC7" s="24"/>
      <c r="OAD7" s="24"/>
      <c r="OAE7" s="24"/>
      <c r="OAF7" s="24"/>
      <c r="OAG7" s="24"/>
      <c r="OAH7" s="24"/>
      <c r="OAI7" s="24"/>
      <c r="OAJ7" s="24"/>
      <c r="OAK7" s="24"/>
      <c r="OAL7" s="24"/>
      <c r="OAM7" s="24"/>
      <c r="OAN7" s="24"/>
      <c r="OAO7" s="24"/>
      <c r="OAP7" s="24"/>
      <c r="OAQ7" s="24"/>
      <c r="OAR7" s="24"/>
      <c r="OAS7" s="24"/>
      <c r="OAT7" s="24"/>
      <c r="OAU7" s="24"/>
      <c r="OAV7" s="24"/>
      <c r="OAW7" s="24"/>
      <c r="OAX7" s="24"/>
      <c r="OAY7" s="24"/>
      <c r="OAZ7" s="24"/>
      <c r="OBA7" s="24"/>
      <c r="OBB7" s="24"/>
      <c r="OBC7" s="24"/>
      <c r="OBD7" s="24"/>
      <c r="OBE7" s="24"/>
      <c r="OBF7" s="24"/>
      <c r="OBG7" s="24"/>
      <c r="OBH7" s="24"/>
      <c r="OBI7" s="24"/>
      <c r="OBJ7" s="24"/>
      <c r="OBK7" s="24"/>
      <c r="OBL7" s="24"/>
      <c r="OBM7" s="24"/>
      <c r="OBN7" s="24"/>
      <c r="OBO7" s="24"/>
      <c r="OBP7" s="24"/>
      <c r="OBQ7" s="24"/>
      <c r="OBR7" s="24"/>
      <c r="OBS7" s="24"/>
      <c r="OBT7" s="24"/>
      <c r="OBU7" s="24"/>
      <c r="OBV7" s="24"/>
      <c r="OBW7" s="24"/>
      <c r="OBX7" s="24"/>
      <c r="OBY7" s="24"/>
      <c r="OBZ7" s="24"/>
      <c r="OCA7" s="24"/>
      <c r="OCB7" s="24"/>
      <c r="OCC7" s="24"/>
      <c r="OCD7" s="24"/>
      <c r="OCE7" s="24"/>
      <c r="OCF7" s="24"/>
      <c r="OCG7" s="24"/>
      <c r="OCH7" s="24"/>
      <c r="OCI7" s="24"/>
      <c r="OCJ7" s="24"/>
      <c r="OCK7" s="24"/>
      <c r="OCL7" s="24"/>
      <c r="OCM7" s="24"/>
      <c r="OCN7" s="24"/>
      <c r="OCO7" s="24"/>
      <c r="OCP7" s="24"/>
      <c r="OCQ7" s="24"/>
      <c r="OCR7" s="24"/>
      <c r="OCS7" s="24"/>
      <c r="OCT7" s="24"/>
      <c r="OCU7" s="24"/>
      <c r="OCV7" s="24"/>
      <c r="OCW7" s="24"/>
      <c r="OCX7" s="24"/>
      <c r="OCY7" s="24"/>
      <c r="OCZ7" s="24"/>
      <c r="ODA7" s="24"/>
      <c r="ODB7" s="24"/>
      <c r="ODC7" s="24"/>
      <c r="ODD7" s="24"/>
      <c r="ODE7" s="24"/>
      <c r="ODF7" s="24"/>
      <c r="ODG7" s="24"/>
      <c r="ODH7" s="24"/>
      <c r="ODI7" s="24"/>
      <c r="ODJ7" s="24"/>
      <c r="ODK7" s="24"/>
      <c r="ODL7" s="24"/>
      <c r="ODM7" s="24"/>
      <c r="ODN7" s="24"/>
      <c r="ODO7" s="24"/>
      <c r="ODP7" s="24"/>
      <c r="ODQ7" s="24"/>
      <c r="ODR7" s="24"/>
      <c r="ODS7" s="24"/>
      <c r="ODT7" s="24"/>
      <c r="ODU7" s="24"/>
      <c r="ODV7" s="24"/>
      <c r="ODW7" s="24"/>
      <c r="ODX7" s="24"/>
      <c r="ODY7" s="24"/>
      <c r="ODZ7" s="24"/>
      <c r="OEA7" s="24"/>
      <c r="OEB7" s="24"/>
      <c r="OEC7" s="24"/>
      <c r="OED7" s="24"/>
      <c r="OEE7" s="24"/>
      <c r="OEF7" s="24"/>
      <c r="OEG7" s="24"/>
      <c r="OEH7" s="24"/>
      <c r="OEI7" s="24"/>
      <c r="OEJ7" s="24"/>
      <c r="OEK7" s="24"/>
      <c r="OEL7" s="24"/>
      <c r="OEM7" s="24"/>
      <c r="OEN7" s="24"/>
      <c r="OEO7" s="24"/>
      <c r="OEP7" s="24"/>
      <c r="OEQ7" s="24"/>
      <c r="OER7" s="24"/>
      <c r="OES7" s="24"/>
      <c r="OET7" s="24"/>
      <c r="OEU7" s="24"/>
      <c r="OEV7" s="24"/>
      <c r="OEW7" s="24"/>
      <c r="OEX7" s="24"/>
      <c r="OEY7" s="24"/>
      <c r="OEZ7" s="24"/>
      <c r="OFA7" s="24"/>
      <c r="OFB7" s="24"/>
      <c r="OFC7" s="24"/>
      <c r="OFD7" s="24"/>
      <c r="OFE7" s="24"/>
      <c r="OFF7" s="24"/>
      <c r="OFG7" s="24"/>
      <c r="OFH7" s="24"/>
      <c r="OFI7" s="24"/>
      <c r="OFJ7" s="24"/>
      <c r="OFK7" s="24"/>
      <c r="OFL7" s="24"/>
      <c r="OFM7" s="24"/>
      <c r="OFN7" s="24"/>
      <c r="OFO7" s="24"/>
      <c r="OFP7" s="24"/>
      <c r="OFQ7" s="24"/>
      <c r="OFR7" s="24"/>
      <c r="OFS7" s="24"/>
      <c r="OFT7" s="24"/>
      <c r="OFU7" s="24"/>
      <c r="OFV7" s="24"/>
      <c r="OFW7" s="24"/>
      <c r="OFX7" s="24"/>
      <c r="OFY7" s="24"/>
      <c r="OFZ7" s="24"/>
      <c r="OGA7" s="24"/>
      <c r="OGB7" s="24"/>
      <c r="OGC7" s="24"/>
      <c r="OGD7" s="24"/>
      <c r="OGE7" s="24"/>
      <c r="OGF7" s="24"/>
      <c r="OGG7" s="24"/>
      <c r="OGH7" s="24"/>
      <c r="OGI7" s="24"/>
      <c r="OGJ7" s="24"/>
      <c r="OGK7" s="24"/>
      <c r="OGL7" s="24"/>
      <c r="OGM7" s="24"/>
      <c r="OGN7" s="24"/>
      <c r="OGO7" s="24"/>
      <c r="OGP7" s="24"/>
      <c r="OGQ7" s="24"/>
      <c r="OGR7" s="24"/>
      <c r="OGS7" s="24"/>
      <c r="OGT7" s="24"/>
      <c r="OGU7" s="24"/>
      <c r="OGV7" s="24"/>
      <c r="OGW7" s="24"/>
      <c r="OGX7" s="24"/>
      <c r="OGY7" s="24"/>
      <c r="OGZ7" s="24"/>
      <c r="OHA7" s="24"/>
      <c r="OHB7" s="24"/>
      <c r="OHC7" s="24"/>
      <c r="OHD7" s="24"/>
      <c r="OHE7" s="24"/>
      <c r="OHF7" s="24"/>
      <c r="OHG7" s="24"/>
      <c r="OHH7" s="24"/>
      <c r="OHI7" s="24"/>
      <c r="OHJ7" s="24"/>
      <c r="OHK7" s="24"/>
      <c r="OHL7" s="24"/>
      <c r="OHM7" s="24"/>
      <c r="OHN7" s="24"/>
      <c r="OHO7" s="24"/>
      <c r="OHP7" s="24"/>
      <c r="OHQ7" s="24"/>
      <c r="OHR7" s="24"/>
      <c r="OHS7" s="24"/>
      <c r="OHT7" s="24"/>
      <c r="OHU7" s="24"/>
      <c r="OHV7" s="24"/>
      <c r="OHW7" s="24"/>
      <c r="OHX7" s="24"/>
      <c r="OHY7" s="24"/>
      <c r="OHZ7" s="24"/>
      <c r="OIA7" s="24"/>
      <c r="OIB7" s="24"/>
      <c r="OIC7" s="24"/>
      <c r="OID7" s="24"/>
      <c r="OIE7" s="24"/>
      <c r="OIF7" s="24"/>
      <c r="OIG7" s="24"/>
      <c r="OIH7" s="24"/>
      <c r="OII7" s="24"/>
      <c r="OIJ7" s="24"/>
      <c r="OIK7" s="24"/>
      <c r="OIL7" s="24"/>
      <c r="OIM7" s="24"/>
      <c r="OIN7" s="24"/>
      <c r="OIO7" s="24"/>
      <c r="OIP7" s="24"/>
      <c r="OIQ7" s="24"/>
      <c r="OIR7" s="24"/>
      <c r="OIS7" s="24"/>
      <c r="OIT7" s="24"/>
      <c r="OIU7" s="24"/>
      <c r="OIV7" s="24"/>
      <c r="OIW7" s="24"/>
      <c r="OIX7" s="24"/>
      <c r="OIY7" s="24"/>
      <c r="OIZ7" s="24"/>
      <c r="OJA7" s="24"/>
      <c r="OJB7" s="24"/>
      <c r="OJC7" s="24"/>
      <c r="OJD7" s="24"/>
      <c r="OJE7" s="24"/>
      <c r="OJF7" s="24"/>
      <c r="OJG7" s="24"/>
      <c r="OJH7" s="24"/>
      <c r="OJI7" s="24"/>
      <c r="OJJ7" s="24"/>
      <c r="OJK7" s="24"/>
      <c r="OJL7" s="24"/>
      <c r="OJM7" s="24"/>
      <c r="OJN7" s="24"/>
      <c r="OJO7" s="24"/>
      <c r="OJP7" s="24"/>
      <c r="OJQ7" s="24"/>
      <c r="OJR7" s="24"/>
      <c r="OJS7" s="24"/>
      <c r="OJT7" s="24"/>
      <c r="OJU7" s="24"/>
      <c r="OJV7" s="24"/>
      <c r="OJW7" s="24"/>
      <c r="OJX7" s="24"/>
      <c r="OJY7" s="24"/>
      <c r="OJZ7" s="24"/>
      <c r="OKA7" s="24"/>
      <c r="OKB7" s="24"/>
      <c r="OKC7" s="24"/>
      <c r="OKD7" s="24"/>
      <c r="OKE7" s="24"/>
      <c r="OKF7" s="24"/>
      <c r="OKG7" s="24"/>
      <c r="OKH7" s="24"/>
      <c r="OKI7" s="24"/>
      <c r="OKJ7" s="24"/>
      <c r="OKK7" s="24"/>
      <c r="OKL7" s="24"/>
      <c r="OKM7" s="24"/>
      <c r="OKN7" s="24"/>
      <c r="OKO7" s="24"/>
      <c r="OKP7" s="24"/>
      <c r="OKQ7" s="24"/>
      <c r="OKR7" s="24"/>
      <c r="OKS7" s="24"/>
      <c r="OKT7" s="24"/>
      <c r="OKU7" s="24"/>
      <c r="OKV7" s="24"/>
      <c r="OKW7" s="24"/>
      <c r="OKX7" s="24"/>
      <c r="OKY7" s="24"/>
      <c r="OKZ7" s="24"/>
      <c r="OLA7" s="24"/>
      <c r="OLB7" s="24"/>
      <c r="OLC7" s="24"/>
      <c r="OLD7" s="24"/>
      <c r="OLE7" s="24"/>
      <c r="OLF7" s="24"/>
      <c r="OLG7" s="24"/>
      <c r="OLH7" s="24"/>
      <c r="OLI7" s="24"/>
      <c r="OLJ7" s="24"/>
      <c r="OLK7" s="24"/>
      <c r="OLL7" s="24"/>
      <c r="OLM7" s="24"/>
      <c r="OLN7" s="24"/>
      <c r="OLO7" s="24"/>
      <c r="OLP7" s="24"/>
      <c r="OLQ7" s="24"/>
      <c r="OLR7" s="24"/>
      <c r="OLS7" s="24"/>
      <c r="OLT7" s="24"/>
      <c r="OLU7" s="24"/>
      <c r="OLV7" s="24"/>
      <c r="OLW7" s="24"/>
      <c r="OLX7" s="24"/>
      <c r="OLY7" s="24"/>
      <c r="OLZ7" s="24"/>
      <c r="OMA7" s="24"/>
      <c r="OMB7" s="24"/>
      <c r="OMC7" s="24"/>
      <c r="OMD7" s="24"/>
      <c r="OME7" s="24"/>
      <c r="OMF7" s="24"/>
      <c r="OMG7" s="24"/>
      <c r="OMH7" s="24"/>
      <c r="OMI7" s="24"/>
      <c r="OMJ7" s="24"/>
      <c r="OMK7" s="24"/>
      <c r="OML7" s="24"/>
      <c r="OMM7" s="24"/>
      <c r="OMN7" s="24"/>
      <c r="OMO7" s="24"/>
      <c r="OMP7" s="24"/>
      <c r="OMQ7" s="24"/>
      <c r="OMR7" s="24"/>
      <c r="OMS7" s="24"/>
      <c r="OMT7" s="24"/>
      <c r="OMU7" s="24"/>
      <c r="OMV7" s="24"/>
      <c r="OMW7" s="24"/>
      <c r="OMX7" s="24"/>
      <c r="OMY7" s="24"/>
      <c r="OMZ7" s="24"/>
      <c r="ONA7" s="24"/>
      <c r="ONB7" s="24"/>
      <c r="ONC7" s="24"/>
      <c r="OND7" s="24"/>
      <c r="ONE7" s="24"/>
      <c r="ONF7" s="24"/>
      <c r="ONG7" s="24"/>
      <c r="ONH7" s="24"/>
      <c r="ONI7" s="24"/>
      <c r="ONJ7" s="24"/>
      <c r="ONK7" s="24"/>
      <c r="ONL7" s="24"/>
      <c r="ONM7" s="24"/>
      <c r="ONN7" s="24"/>
      <c r="ONO7" s="24"/>
      <c r="ONP7" s="24"/>
      <c r="ONQ7" s="24"/>
      <c r="ONR7" s="24"/>
      <c r="ONS7" s="24"/>
      <c r="ONT7" s="24"/>
      <c r="ONU7" s="24"/>
      <c r="ONV7" s="24"/>
      <c r="ONW7" s="24"/>
      <c r="ONX7" s="24"/>
      <c r="ONY7" s="24"/>
      <c r="ONZ7" s="24"/>
      <c r="OOA7" s="24"/>
      <c r="OOB7" s="24"/>
      <c r="OOC7" s="24"/>
      <c r="OOD7" s="24"/>
      <c r="OOE7" s="24"/>
      <c r="OOF7" s="24"/>
      <c r="OOG7" s="24"/>
      <c r="OOH7" s="24"/>
      <c r="OOI7" s="24"/>
      <c r="OOJ7" s="24"/>
      <c r="OOK7" s="24"/>
      <c r="OOL7" s="24"/>
      <c r="OOM7" s="24"/>
      <c r="OON7" s="24"/>
      <c r="OOO7" s="24"/>
      <c r="OOP7" s="24"/>
      <c r="OOQ7" s="24"/>
      <c r="OOR7" s="24"/>
      <c r="OOS7" s="24"/>
      <c r="OOT7" s="24"/>
      <c r="OOU7" s="24"/>
      <c r="OOV7" s="24"/>
      <c r="OOW7" s="24"/>
      <c r="OOX7" s="24"/>
      <c r="OOY7" s="24"/>
      <c r="OOZ7" s="24"/>
      <c r="OPA7" s="24"/>
      <c r="OPB7" s="24"/>
      <c r="OPC7" s="24"/>
      <c r="OPD7" s="24"/>
      <c r="OPE7" s="24"/>
      <c r="OPF7" s="24"/>
      <c r="OPG7" s="24"/>
      <c r="OPH7" s="24"/>
      <c r="OPI7" s="24"/>
      <c r="OPJ7" s="24"/>
      <c r="OPK7" s="24"/>
      <c r="OPL7" s="24"/>
      <c r="OPM7" s="24"/>
      <c r="OPN7" s="24"/>
      <c r="OPO7" s="24"/>
      <c r="OPP7" s="24"/>
      <c r="OPQ7" s="24"/>
      <c r="OPR7" s="24"/>
      <c r="OPS7" s="24"/>
      <c r="OPT7" s="24"/>
      <c r="OPU7" s="24"/>
      <c r="OPV7" s="24"/>
      <c r="OPW7" s="24"/>
      <c r="OPX7" s="24"/>
      <c r="OPY7" s="24"/>
      <c r="OPZ7" s="24"/>
      <c r="OQA7" s="24"/>
      <c r="OQB7" s="24"/>
      <c r="OQC7" s="24"/>
      <c r="OQD7" s="24"/>
      <c r="OQE7" s="24"/>
      <c r="OQF7" s="24"/>
      <c r="OQG7" s="24"/>
      <c r="OQH7" s="24"/>
      <c r="OQI7" s="24"/>
      <c r="OQJ7" s="24"/>
      <c r="OQK7" s="24"/>
      <c r="OQL7" s="24"/>
      <c r="OQM7" s="24"/>
      <c r="OQN7" s="24"/>
      <c r="OQO7" s="24"/>
      <c r="OQP7" s="24"/>
      <c r="OQQ7" s="24"/>
      <c r="OQR7" s="24"/>
      <c r="OQS7" s="24"/>
      <c r="OQT7" s="24"/>
      <c r="OQU7" s="24"/>
      <c r="OQV7" s="24"/>
      <c r="OQW7" s="24"/>
      <c r="OQX7" s="24"/>
      <c r="OQY7" s="24"/>
      <c r="OQZ7" s="24"/>
      <c r="ORA7" s="24"/>
      <c r="ORB7" s="24"/>
      <c r="ORC7" s="24"/>
      <c r="ORD7" s="24"/>
      <c r="ORE7" s="24"/>
      <c r="ORF7" s="24"/>
      <c r="ORG7" s="24"/>
      <c r="ORH7" s="24"/>
      <c r="ORI7" s="24"/>
      <c r="ORJ7" s="24"/>
      <c r="ORK7" s="24"/>
      <c r="ORL7" s="24"/>
      <c r="ORM7" s="24"/>
      <c r="ORN7" s="24"/>
      <c r="ORO7" s="24"/>
      <c r="ORP7" s="24"/>
      <c r="ORQ7" s="24"/>
      <c r="ORR7" s="24"/>
      <c r="ORS7" s="24"/>
      <c r="ORT7" s="24"/>
      <c r="ORU7" s="24"/>
      <c r="ORV7" s="24"/>
      <c r="ORW7" s="24"/>
      <c r="ORX7" s="24"/>
      <c r="ORY7" s="24"/>
      <c r="ORZ7" s="24"/>
      <c r="OSA7" s="24"/>
      <c r="OSB7" s="24"/>
      <c r="OSC7" s="24"/>
      <c r="OSD7" s="24"/>
      <c r="OSE7" s="24"/>
      <c r="OSF7" s="24"/>
      <c r="OSG7" s="24"/>
      <c r="OSH7" s="24"/>
      <c r="OSI7" s="24"/>
      <c r="OSJ7" s="24"/>
      <c r="OSK7" s="24"/>
      <c r="OSL7" s="24"/>
      <c r="OSM7" s="24"/>
      <c r="OSN7" s="24"/>
      <c r="OSO7" s="24"/>
      <c r="OSP7" s="24"/>
      <c r="OSQ7" s="24"/>
      <c r="OSR7" s="24"/>
      <c r="OSS7" s="24"/>
      <c r="OST7" s="24"/>
      <c r="OSU7" s="24"/>
      <c r="OSV7" s="24"/>
      <c r="OSW7" s="24"/>
      <c r="OSX7" s="24"/>
      <c r="OSY7" s="24"/>
      <c r="OSZ7" s="24"/>
      <c r="OTA7" s="24"/>
      <c r="OTB7" s="24"/>
      <c r="OTC7" s="24"/>
      <c r="OTD7" s="24"/>
      <c r="OTE7" s="24"/>
      <c r="OTF7" s="24"/>
      <c r="OTG7" s="24"/>
      <c r="OTH7" s="24"/>
      <c r="OTI7" s="24"/>
      <c r="OTJ7" s="24"/>
      <c r="OTK7" s="24"/>
      <c r="OTL7" s="24"/>
      <c r="OTM7" s="24"/>
      <c r="OTN7" s="24"/>
      <c r="OTO7" s="24"/>
      <c r="OTP7" s="24"/>
      <c r="OTQ7" s="24"/>
      <c r="OTR7" s="24"/>
      <c r="OTS7" s="24"/>
      <c r="OTT7" s="24"/>
      <c r="OTU7" s="24"/>
      <c r="OTV7" s="24"/>
      <c r="OTW7" s="24"/>
      <c r="OTX7" s="24"/>
      <c r="OTY7" s="24"/>
      <c r="OTZ7" s="24"/>
      <c r="OUA7" s="24"/>
      <c r="OUB7" s="24"/>
      <c r="OUC7" s="24"/>
      <c r="OUD7" s="24"/>
      <c r="OUE7" s="24"/>
      <c r="OUF7" s="24"/>
      <c r="OUG7" s="24"/>
      <c r="OUH7" s="24"/>
      <c r="OUI7" s="24"/>
      <c r="OUJ7" s="24"/>
      <c r="OUK7" s="24"/>
      <c r="OUL7" s="24"/>
      <c r="OUM7" s="24"/>
      <c r="OUN7" s="24"/>
      <c r="OUO7" s="24"/>
      <c r="OUP7" s="24"/>
      <c r="OUQ7" s="24"/>
      <c r="OUR7" s="24"/>
      <c r="OUS7" s="24"/>
      <c r="OUT7" s="24"/>
      <c r="OUU7" s="24"/>
      <c r="OUV7" s="24"/>
      <c r="OUW7" s="24"/>
      <c r="OUX7" s="24"/>
      <c r="OUY7" s="24"/>
      <c r="OUZ7" s="24"/>
      <c r="OVA7" s="24"/>
      <c r="OVB7" s="24"/>
      <c r="OVC7" s="24"/>
      <c r="OVD7" s="24"/>
      <c r="OVE7" s="24"/>
      <c r="OVF7" s="24"/>
      <c r="OVG7" s="24"/>
      <c r="OVH7" s="24"/>
      <c r="OVI7" s="24"/>
      <c r="OVJ7" s="24"/>
      <c r="OVK7" s="24"/>
      <c r="OVL7" s="24"/>
      <c r="OVM7" s="24"/>
      <c r="OVN7" s="24"/>
      <c r="OVO7" s="24"/>
      <c r="OVP7" s="24"/>
      <c r="OVQ7" s="24"/>
      <c r="OVR7" s="24"/>
      <c r="OVS7" s="24"/>
      <c r="OVT7" s="24"/>
      <c r="OVU7" s="24"/>
      <c r="OVV7" s="24"/>
      <c r="OVW7" s="24"/>
      <c r="OVX7" s="24"/>
      <c r="OVY7" s="24"/>
      <c r="OVZ7" s="24"/>
      <c r="OWA7" s="24"/>
      <c r="OWB7" s="24"/>
      <c r="OWC7" s="24"/>
      <c r="OWD7" s="24"/>
      <c r="OWE7" s="24"/>
      <c r="OWF7" s="24"/>
      <c r="OWG7" s="24"/>
      <c r="OWH7" s="24"/>
      <c r="OWI7" s="24"/>
      <c r="OWJ7" s="24"/>
      <c r="OWK7" s="24"/>
      <c r="OWL7" s="24"/>
      <c r="OWM7" s="24"/>
      <c r="OWN7" s="24"/>
      <c r="OWO7" s="24"/>
      <c r="OWP7" s="24"/>
      <c r="OWQ7" s="24"/>
      <c r="OWR7" s="24"/>
      <c r="OWS7" s="24"/>
      <c r="OWT7" s="24"/>
      <c r="OWU7" s="24"/>
      <c r="OWV7" s="24"/>
      <c r="OWW7" s="24"/>
      <c r="OWX7" s="24"/>
      <c r="OWY7" s="24"/>
      <c r="OWZ7" s="24"/>
      <c r="OXA7" s="24"/>
      <c r="OXB7" s="24"/>
      <c r="OXC7" s="24"/>
      <c r="OXD7" s="24"/>
      <c r="OXE7" s="24"/>
      <c r="OXF7" s="24"/>
      <c r="OXG7" s="24"/>
      <c r="OXH7" s="24"/>
      <c r="OXI7" s="24"/>
      <c r="OXJ7" s="24"/>
      <c r="OXK7" s="24"/>
      <c r="OXL7" s="24"/>
      <c r="OXM7" s="24"/>
      <c r="OXN7" s="24"/>
      <c r="OXO7" s="24"/>
      <c r="OXP7" s="24"/>
      <c r="OXQ7" s="24"/>
      <c r="OXR7" s="24"/>
      <c r="OXS7" s="24"/>
      <c r="OXT7" s="24"/>
      <c r="OXU7" s="24"/>
      <c r="OXV7" s="24"/>
      <c r="OXW7" s="24"/>
      <c r="OXX7" s="24"/>
      <c r="OXY7" s="24"/>
      <c r="OXZ7" s="24"/>
      <c r="OYA7" s="24"/>
      <c r="OYB7" s="24"/>
      <c r="OYC7" s="24"/>
      <c r="OYD7" s="24"/>
      <c r="OYE7" s="24"/>
      <c r="OYF7" s="24"/>
      <c r="OYG7" s="24"/>
      <c r="OYH7" s="24"/>
      <c r="OYI7" s="24"/>
      <c r="OYJ7" s="24"/>
      <c r="OYK7" s="24"/>
      <c r="OYL7" s="24"/>
      <c r="OYM7" s="24"/>
      <c r="OYN7" s="24"/>
      <c r="OYO7" s="24"/>
      <c r="OYP7" s="24"/>
      <c r="OYQ7" s="24"/>
      <c r="OYR7" s="24"/>
      <c r="OYS7" s="24"/>
      <c r="OYT7" s="24"/>
      <c r="OYU7" s="24"/>
      <c r="OYV7" s="24"/>
      <c r="OYW7" s="24"/>
      <c r="OYX7" s="24"/>
      <c r="OYY7" s="24"/>
      <c r="OYZ7" s="24"/>
      <c r="OZA7" s="24"/>
      <c r="OZB7" s="24"/>
      <c r="OZC7" s="24"/>
      <c r="OZD7" s="24"/>
      <c r="OZE7" s="24"/>
      <c r="OZF7" s="24"/>
      <c r="OZG7" s="24"/>
      <c r="OZH7" s="24"/>
      <c r="OZI7" s="24"/>
      <c r="OZJ7" s="24"/>
      <c r="OZK7" s="24"/>
      <c r="OZL7" s="24"/>
      <c r="OZM7" s="24"/>
      <c r="OZN7" s="24"/>
      <c r="OZO7" s="24"/>
      <c r="OZP7" s="24"/>
      <c r="OZQ7" s="24"/>
      <c r="OZR7" s="24"/>
      <c r="OZS7" s="24"/>
      <c r="OZT7" s="24"/>
      <c r="OZU7" s="24"/>
      <c r="OZV7" s="24"/>
      <c r="OZW7" s="24"/>
      <c r="OZX7" s="24"/>
      <c r="OZY7" s="24"/>
      <c r="OZZ7" s="24"/>
      <c r="PAA7" s="24"/>
      <c r="PAB7" s="24"/>
      <c r="PAC7" s="24"/>
      <c r="PAD7" s="24"/>
      <c r="PAE7" s="24"/>
      <c r="PAF7" s="24"/>
      <c r="PAG7" s="24"/>
      <c r="PAH7" s="24"/>
      <c r="PAI7" s="24"/>
      <c r="PAJ7" s="24"/>
      <c r="PAK7" s="24"/>
      <c r="PAL7" s="24"/>
      <c r="PAM7" s="24"/>
      <c r="PAN7" s="24"/>
      <c r="PAO7" s="24"/>
      <c r="PAP7" s="24"/>
      <c r="PAQ7" s="24"/>
      <c r="PAR7" s="24"/>
      <c r="PAS7" s="24"/>
      <c r="PAT7" s="24"/>
      <c r="PAU7" s="24"/>
      <c r="PAV7" s="24"/>
      <c r="PAW7" s="24"/>
      <c r="PAX7" s="24"/>
      <c r="PAY7" s="24"/>
      <c r="PAZ7" s="24"/>
      <c r="PBA7" s="24"/>
      <c r="PBB7" s="24"/>
      <c r="PBC7" s="24"/>
      <c r="PBD7" s="24"/>
      <c r="PBE7" s="24"/>
      <c r="PBF7" s="24"/>
      <c r="PBG7" s="24"/>
      <c r="PBH7" s="24"/>
      <c r="PBI7" s="24"/>
      <c r="PBJ7" s="24"/>
      <c r="PBK7" s="24"/>
      <c r="PBL7" s="24"/>
      <c r="PBM7" s="24"/>
      <c r="PBN7" s="24"/>
      <c r="PBO7" s="24"/>
      <c r="PBP7" s="24"/>
      <c r="PBQ7" s="24"/>
      <c r="PBR7" s="24"/>
      <c r="PBS7" s="24"/>
      <c r="PBT7" s="24"/>
      <c r="PBU7" s="24"/>
      <c r="PBV7" s="24"/>
      <c r="PBW7" s="24"/>
      <c r="PBX7" s="24"/>
      <c r="PBY7" s="24"/>
      <c r="PBZ7" s="24"/>
      <c r="PCA7" s="24"/>
      <c r="PCB7" s="24"/>
      <c r="PCC7" s="24"/>
      <c r="PCD7" s="24"/>
      <c r="PCE7" s="24"/>
      <c r="PCF7" s="24"/>
      <c r="PCG7" s="24"/>
      <c r="PCH7" s="24"/>
      <c r="PCI7" s="24"/>
      <c r="PCJ7" s="24"/>
      <c r="PCK7" s="24"/>
      <c r="PCL7" s="24"/>
      <c r="PCM7" s="24"/>
      <c r="PCN7" s="24"/>
      <c r="PCO7" s="24"/>
      <c r="PCP7" s="24"/>
      <c r="PCQ7" s="24"/>
      <c r="PCR7" s="24"/>
      <c r="PCS7" s="24"/>
      <c r="PCT7" s="24"/>
      <c r="PCU7" s="24"/>
      <c r="PCV7" s="24"/>
      <c r="PCW7" s="24"/>
      <c r="PCX7" s="24"/>
      <c r="PCY7" s="24"/>
      <c r="PCZ7" s="24"/>
      <c r="PDA7" s="24"/>
      <c r="PDB7" s="24"/>
      <c r="PDC7" s="24"/>
      <c r="PDD7" s="24"/>
      <c r="PDE7" s="24"/>
      <c r="PDF7" s="24"/>
      <c r="PDG7" s="24"/>
      <c r="PDH7" s="24"/>
      <c r="PDI7" s="24"/>
      <c r="PDJ7" s="24"/>
      <c r="PDK7" s="24"/>
      <c r="PDL7" s="24"/>
      <c r="PDM7" s="24"/>
      <c r="PDN7" s="24"/>
      <c r="PDO7" s="24"/>
      <c r="PDP7" s="24"/>
      <c r="PDQ7" s="24"/>
      <c r="PDR7" s="24"/>
      <c r="PDS7" s="24"/>
      <c r="PDT7" s="24"/>
      <c r="PDU7" s="24"/>
      <c r="PDV7" s="24"/>
      <c r="PDW7" s="24"/>
      <c r="PDX7" s="24"/>
      <c r="PDY7" s="24"/>
      <c r="PDZ7" s="24"/>
      <c r="PEA7" s="24"/>
      <c r="PEB7" s="24"/>
      <c r="PEC7" s="24"/>
      <c r="PED7" s="24"/>
      <c r="PEE7" s="24"/>
      <c r="PEF7" s="24"/>
      <c r="PEG7" s="24"/>
      <c r="PEH7" s="24"/>
      <c r="PEI7" s="24"/>
      <c r="PEJ7" s="24"/>
      <c r="PEK7" s="24"/>
      <c r="PEL7" s="24"/>
      <c r="PEM7" s="24"/>
      <c r="PEN7" s="24"/>
      <c r="PEO7" s="24"/>
      <c r="PEP7" s="24"/>
      <c r="PEQ7" s="24"/>
      <c r="PER7" s="24"/>
      <c r="PES7" s="24"/>
      <c r="PET7" s="24"/>
      <c r="PEU7" s="24"/>
      <c r="PEV7" s="24"/>
      <c r="PEW7" s="24"/>
      <c r="PEX7" s="24"/>
      <c r="PEY7" s="24"/>
      <c r="PEZ7" s="24"/>
      <c r="PFA7" s="24"/>
      <c r="PFB7" s="24"/>
      <c r="PFC7" s="24"/>
      <c r="PFD7" s="24"/>
      <c r="PFE7" s="24"/>
      <c r="PFF7" s="24"/>
      <c r="PFG7" s="24"/>
      <c r="PFH7" s="24"/>
      <c r="PFI7" s="24"/>
      <c r="PFJ7" s="24"/>
      <c r="PFK7" s="24"/>
      <c r="PFL7" s="24"/>
      <c r="PFM7" s="24"/>
      <c r="PFN7" s="24"/>
      <c r="PFO7" s="24"/>
      <c r="PFP7" s="24"/>
      <c r="PFQ7" s="24"/>
      <c r="PFR7" s="24"/>
      <c r="PFS7" s="24"/>
      <c r="PFT7" s="24"/>
      <c r="PFU7" s="24"/>
      <c r="PFV7" s="24"/>
      <c r="PFW7" s="24"/>
      <c r="PFX7" s="24"/>
      <c r="PFY7" s="24"/>
      <c r="PFZ7" s="24"/>
      <c r="PGA7" s="24"/>
      <c r="PGB7" s="24"/>
      <c r="PGC7" s="24"/>
      <c r="PGD7" s="24"/>
      <c r="PGE7" s="24"/>
      <c r="PGF7" s="24"/>
      <c r="PGG7" s="24"/>
      <c r="PGH7" s="24"/>
      <c r="PGI7" s="24"/>
      <c r="PGJ7" s="24"/>
      <c r="PGK7" s="24"/>
      <c r="PGL7" s="24"/>
      <c r="PGM7" s="24"/>
      <c r="PGN7" s="24"/>
      <c r="PGO7" s="24"/>
      <c r="PGP7" s="24"/>
      <c r="PGQ7" s="24"/>
      <c r="PGR7" s="24"/>
      <c r="PGS7" s="24"/>
      <c r="PGT7" s="24"/>
      <c r="PGU7" s="24"/>
      <c r="PGV7" s="24"/>
      <c r="PGW7" s="24"/>
      <c r="PGX7" s="24"/>
      <c r="PGY7" s="24"/>
      <c r="PGZ7" s="24"/>
      <c r="PHA7" s="24"/>
      <c r="PHB7" s="24"/>
      <c r="PHC7" s="24"/>
      <c r="PHD7" s="24"/>
      <c r="PHE7" s="24"/>
      <c r="PHF7" s="24"/>
      <c r="PHG7" s="24"/>
      <c r="PHH7" s="24"/>
      <c r="PHI7" s="24"/>
      <c r="PHJ7" s="24"/>
      <c r="PHK7" s="24"/>
      <c r="PHL7" s="24"/>
      <c r="PHM7" s="24"/>
      <c r="PHN7" s="24"/>
      <c r="PHO7" s="24"/>
      <c r="PHP7" s="24"/>
      <c r="PHQ7" s="24"/>
      <c r="PHR7" s="24"/>
      <c r="PHS7" s="24"/>
      <c r="PHT7" s="24"/>
      <c r="PHU7" s="24"/>
      <c r="PHV7" s="24"/>
      <c r="PHW7" s="24"/>
      <c r="PHX7" s="24"/>
      <c r="PHY7" s="24"/>
      <c r="PHZ7" s="24"/>
      <c r="PIA7" s="24"/>
      <c r="PIB7" s="24"/>
      <c r="PIC7" s="24"/>
      <c r="PID7" s="24"/>
      <c r="PIE7" s="24"/>
      <c r="PIF7" s="24"/>
      <c r="PIG7" s="24"/>
      <c r="PIH7" s="24"/>
      <c r="PII7" s="24"/>
      <c r="PIJ7" s="24"/>
      <c r="PIK7" s="24"/>
      <c r="PIL7" s="24"/>
      <c r="PIM7" s="24"/>
      <c r="PIN7" s="24"/>
      <c r="PIO7" s="24"/>
      <c r="PIP7" s="24"/>
      <c r="PIQ7" s="24"/>
      <c r="PIR7" s="24"/>
      <c r="PIS7" s="24"/>
      <c r="PIT7" s="24"/>
      <c r="PIU7" s="24"/>
      <c r="PIV7" s="24"/>
      <c r="PIW7" s="24"/>
      <c r="PIX7" s="24"/>
      <c r="PIY7" s="24"/>
      <c r="PIZ7" s="24"/>
      <c r="PJA7" s="24"/>
      <c r="PJB7" s="24"/>
      <c r="PJC7" s="24"/>
      <c r="PJD7" s="24"/>
      <c r="PJE7" s="24"/>
      <c r="PJF7" s="24"/>
      <c r="PJG7" s="24"/>
      <c r="PJH7" s="24"/>
      <c r="PJI7" s="24"/>
      <c r="PJJ7" s="24"/>
      <c r="PJK7" s="24"/>
      <c r="PJL7" s="24"/>
      <c r="PJM7" s="24"/>
      <c r="PJN7" s="24"/>
      <c r="PJO7" s="24"/>
      <c r="PJP7" s="24"/>
      <c r="PJQ7" s="24"/>
      <c r="PJR7" s="24"/>
      <c r="PJS7" s="24"/>
      <c r="PJT7" s="24"/>
      <c r="PJU7" s="24"/>
      <c r="PJV7" s="24"/>
      <c r="PJW7" s="24"/>
      <c r="PJX7" s="24"/>
      <c r="PJY7" s="24"/>
      <c r="PJZ7" s="24"/>
      <c r="PKA7" s="24"/>
      <c r="PKB7" s="24"/>
      <c r="PKC7" s="24"/>
      <c r="PKD7" s="24"/>
      <c r="PKE7" s="24"/>
      <c r="PKF7" s="24"/>
      <c r="PKG7" s="24"/>
      <c r="PKH7" s="24"/>
      <c r="PKI7" s="24"/>
      <c r="PKJ7" s="24"/>
      <c r="PKK7" s="24"/>
      <c r="PKL7" s="24"/>
      <c r="PKM7" s="24"/>
      <c r="PKN7" s="24"/>
      <c r="PKO7" s="24"/>
      <c r="PKP7" s="24"/>
      <c r="PKQ7" s="24"/>
      <c r="PKR7" s="24"/>
      <c r="PKS7" s="24"/>
      <c r="PKT7" s="24"/>
      <c r="PKU7" s="24"/>
      <c r="PKV7" s="24"/>
      <c r="PKW7" s="24"/>
      <c r="PKX7" s="24"/>
      <c r="PKY7" s="24"/>
      <c r="PKZ7" s="24"/>
      <c r="PLA7" s="24"/>
      <c r="PLB7" s="24"/>
      <c r="PLC7" s="24"/>
      <c r="PLD7" s="24"/>
      <c r="PLE7" s="24"/>
      <c r="PLF7" s="24"/>
      <c r="PLG7" s="24"/>
      <c r="PLH7" s="24"/>
      <c r="PLI7" s="24"/>
      <c r="PLJ7" s="24"/>
      <c r="PLK7" s="24"/>
      <c r="PLL7" s="24"/>
      <c r="PLM7" s="24"/>
      <c r="PLN7" s="24"/>
      <c r="PLO7" s="24"/>
      <c r="PLP7" s="24"/>
      <c r="PLQ7" s="24"/>
      <c r="PLR7" s="24"/>
      <c r="PLS7" s="24"/>
      <c r="PLT7" s="24"/>
      <c r="PLU7" s="24"/>
      <c r="PLV7" s="24"/>
      <c r="PLW7" s="24"/>
      <c r="PLX7" s="24"/>
      <c r="PLY7" s="24"/>
      <c r="PLZ7" s="24"/>
      <c r="PMA7" s="24"/>
      <c r="PMB7" s="24"/>
      <c r="PMC7" s="24"/>
      <c r="PMD7" s="24"/>
      <c r="PME7" s="24"/>
      <c r="PMF7" s="24"/>
      <c r="PMG7" s="24"/>
      <c r="PMH7" s="24"/>
      <c r="PMI7" s="24"/>
      <c r="PMJ7" s="24"/>
      <c r="PMK7" s="24"/>
      <c r="PML7" s="24"/>
      <c r="PMM7" s="24"/>
      <c r="PMN7" s="24"/>
      <c r="PMO7" s="24"/>
      <c r="PMP7" s="24"/>
      <c r="PMQ7" s="24"/>
      <c r="PMR7" s="24"/>
      <c r="PMS7" s="24"/>
      <c r="PMT7" s="24"/>
      <c r="PMU7" s="24"/>
      <c r="PMV7" s="24"/>
      <c r="PMW7" s="24"/>
      <c r="PMX7" s="24"/>
      <c r="PMY7" s="24"/>
      <c r="PMZ7" s="24"/>
      <c r="PNA7" s="24"/>
      <c r="PNB7" s="24"/>
      <c r="PNC7" s="24"/>
      <c r="PND7" s="24"/>
      <c r="PNE7" s="24"/>
      <c r="PNF7" s="24"/>
      <c r="PNG7" s="24"/>
      <c r="PNH7" s="24"/>
      <c r="PNI7" s="24"/>
      <c r="PNJ7" s="24"/>
      <c r="PNK7" s="24"/>
      <c r="PNL7" s="24"/>
      <c r="PNM7" s="24"/>
      <c r="PNN7" s="24"/>
      <c r="PNO7" s="24"/>
      <c r="PNP7" s="24"/>
      <c r="PNQ7" s="24"/>
      <c r="PNR7" s="24"/>
      <c r="PNS7" s="24"/>
      <c r="PNT7" s="24"/>
      <c r="PNU7" s="24"/>
      <c r="PNV7" s="24"/>
      <c r="PNW7" s="24"/>
      <c r="PNX7" s="24"/>
      <c r="PNY7" s="24"/>
      <c r="PNZ7" s="24"/>
      <c r="POA7" s="24"/>
      <c r="POB7" s="24"/>
      <c r="POC7" s="24"/>
      <c r="POD7" s="24"/>
      <c r="POE7" s="24"/>
      <c r="POF7" s="24"/>
      <c r="POG7" s="24"/>
      <c r="POH7" s="24"/>
      <c r="POI7" s="24"/>
      <c r="POJ7" s="24"/>
      <c r="POK7" s="24"/>
      <c r="POL7" s="24"/>
      <c r="POM7" s="24"/>
      <c r="PON7" s="24"/>
      <c r="POO7" s="24"/>
      <c r="POP7" s="24"/>
      <c r="POQ7" s="24"/>
      <c r="POR7" s="24"/>
      <c r="POS7" s="24"/>
      <c r="POT7" s="24"/>
      <c r="POU7" s="24"/>
      <c r="POV7" s="24"/>
      <c r="POW7" s="24"/>
      <c r="POX7" s="24"/>
      <c r="POY7" s="24"/>
      <c r="POZ7" s="24"/>
      <c r="PPA7" s="24"/>
      <c r="PPB7" s="24"/>
      <c r="PPC7" s="24"/>
      <c r="PPD7" s="24"/>
      <c r="PPE7" s="24"/>
      <c r="PPF7" s="24"/>
      <c r="PPG7" s="24"/>
      <c r="PPH7" s="24"/>
      <c r="PPI7" s="24"/>
      <c r="PPJ7" s="24"/>
      <c r="PPK7" s="24"/>
      <c r="PPL7" s="24"/>
      <c r="PPM7" s="24"/>
      <c r="PPN7" s="24"/>
      <c r="PPO7" s="24"/>
      <c r="PPP7" s="24"/>
      <c r="PPQ7" s="24"/>
      <c r="PPR7" s="24"/>
      <c r="PPS7" s="24"/>
      <c r="PPT7" s="24"/>
      <c r="PPU7" s="24"/>
      <c r="PPV7" s="24"/>
      <c r="PPW7" s="24"/>
      <c r="PPX7" s="24"/>
      <c r="PPY7" s="24"/>
      <c r="PPZ7" s="24"/>
      <c r="PQA7" s="24"/>
      <c r="PQB7" s="24"/>
      <c r="PQC7" s="24"/>
      <c r="PQD7" s="24"/>
      <c r="PQE7" s="24"/>
      <c r="PQF7" s="24"/>
      <c r="PQG7" s="24"/>
      <c r="PQH7" s="24"/>
      <c r="PQI7" s="24"/>
      <c r="PQJ7" s="24"/>
      <c r="PQK7" s="24"/>
      <c r="PQL7" s="24"/>
      <c r="PQM7" s="24"/>
      <c r="PQN7" s="24"/>
      <c r="PQO7" s="24"/>
      <c r="PQP7" s="24"/>
      <c r="PQQ7" s="24"/>
      <c r="PQR7" s="24"/>
      <c r="PQS7" s="24"/>
      <c r="PQT7" s="24"/>
      <c r="PQU7" s="24"/>
      <c r="PQV7" s="24"/>
      <c r="PQW7" s="24"/>
      <c r="PQX7" s="24"/>
      <c r="PQY7" s="24"/>
      <c r="PQZ7" s="24"/>
      <c r="PRA7" s="24"/>
      <c r="PRB7" s="24"/>
      <c r="PRC7" s="24"/>
      <c r="PRD7" s="24"/>
      <c r="PRE7" s="24"/>
      <c r="PRF7" s="24"/>
      <c r="PRG7" s="24"/>
      <c r="PRH7" s="24"/>
      <c r="PRI7" s="24"/>
      <c r="PRJ7" s="24"/>
      <c r="PRK7" s="24"/>
      <c r="PRL7" s="24"/>
      <c r="PRM7" s="24"/>
      <c r="PRN7" s="24"/>
      <c r="PRO7" s="24"/>
      <c r="PRP7" s="24"/>
      <c r="PRQ7" s="24"/>
      <c r="PRR7" s="24"/>
      <c r="PRS7" s="24"/>
      <c r="PRT7" s="24"/>
      <c r="PRU7" s="24"/>
      <c r="PRV7" s="24"/>
      <c r="PRW7" s="24"/>
      <c r="PRX7" s="24"/>
      <c r="PRY7" s="24"/>
      <c r="PRZ7" s="24"/>
      <c r="PSA7" s="24"/>
      <c r="PSB7" s="24"/>
      <c r="PSC7" s="24"/>
      <c r="PSD7" s="24"/>
      <c r="PSE7" s="24"/>
      <c r="PSF7" s="24"/>
      <c r="PSG7" s="24"/>
      <c r="PSH7" s="24"/>
      <c r="PSI7" s="24"/>
      <c r="PSJ7" s="24"/>
      <c r="PSK7" s="24"/>
      <c r="PSL7" s="24"/>
      <c r="PSM7" s="24"/>
      <c r="PSN7" s="24"/>
      <c r="PSO7" s="24"/>
      <c r="PSP7" s="24"/>
      <c r="PSQ7" s="24"/>
      <c r="PSR7" s="24"/>
      <c r="PSS7" s="24"/>
      <c r="PST7" s="24"/>
      <c r="PSU7" s="24"/>
      <c r="PSV7" s="24"/>
      <c r="PSW7" s="24"/>
      <c r="PSX7" s="24"/>
      <c r="PSY7" s="24"/>
      <c r="PSZ7" s="24"/>
      <c r="PTA7" s="24"/>
      <c r="PTB7" s="24"/>
      <c r="PTC7" s="24"/>
      <c r="PTD7" s="24"/>
      <c r="PTE7" s="24"/>
      <c r="PTF7" s="24"/>
      <c r="PTG7" s="24"/>
      <c r="PTH7" s="24"/>
      <c r="PTI7" s="24"/>
      <c r="PTJ7" s="24"/>
      <c r="PTK7" s="24"/>
      <c r="PTL7" s="24"/>
      <c r="PTM7" s="24"/>
      <c r="PTN7" s="24"/>
      <c r="PTO7" s="24"/>
      <c r="PTP7" s="24"/>
      <c r="PTQ7" s="24"/>
      <c r="PTR7" s="24"/>
      <c r="PTS7" s="24"/>
      <c r="PTT7" s="24"/>
      <c r="PTU7" s="24"/>
      <c r="PTV7" s="24"/>
      <c r="PTW7" s="24"/>
      <c r="PTX7" s="24"/>
      <c r="PTY7" s="24"/>
      <c r="PTZ7" s="24"/>
      <c r="PUA7" s="24"/>
      <c r="PUB7" s="24"/>
      <c r="PUC7" s="24"/>
      <c r="PUD7" s="24"/>
      <c r="PUE7" s="24"/>
      <c r="PUF7" s="24"/>
      <c r="PUG7" s="24"/>
      <c r="PUH7" s="24"/>
      <c r="PUI7" s="24"/>
      <c r="PUJ7" s="24"/>
      <c r="PUK7" s="24"/>
      <c r="PUL7" s="24"/>
      <c r="PUM7" s="24"/>
      <c r="PUN7" s="24"/>
      <c r="PUO7" s="24"/>
      <c r="PUP7" s="24"/>
      <c r="PUQ7" s="24"/>
      <c r="PUR7" s="24"/>
      <c r="PUS7" s="24"/>
      <c r="PUT7" s="24"/>
      <c r="PUU7" s="24"/>
      <c r="PUV7" s="24"/>
      <c r="PUW7" s="24"/>
      <c r="PUX7" s="24"/>
      <c r="PUY7" s="24"/>
      <c r="PUZ7" s="24"/>
      <c r="PVA7" s="24"/>
      <c r="PVB7" s="24"/>
      <c r="PVC7" s="24"/>
      <c r="PVD7" s="24"/>
      <c r="PVE7" s="24"/>
      <c r="PVF7" s="24"/>
      <c r="PVG7" s="24"/>
      <c r="PVH7" s="24"/>
      <c r="PVI7" s="24"/>
      <c r="PVJ7" s="24"/>
      <c r="PVK7" s="24"/>
      <c r="PVL7" s="24"/>
      <c r="PVM7" s="24"/>
      <c r="PVN7" s="24"/>
      <c r="PVO7" s="24"/>
      <c r="PVP7" s="24"/>
      <c r="PVQ7" s="24"/>
      <c r="PVR7" s="24"/>
      <c r="PVS7" s="24"/>
      <c r="PVT7" s="24"/>
      <c r="PVU7" s="24"/>
      <c r="PVV7" s="24"/>
      <c r="PVW7" s="24"/>
      <c r="PVX7" s="24"/>
      <c r="PVY7" s="24"/>
      <c r="PVZ7" s="24"/>
      <c r="PWA7" s="24"/>
      <c r="PWB7" s="24"/>
      <c r="PWC7" s="24"/>
      <c r="PWD7" s="24"/>
      <c r="PWE7" s="24"/>
      <c r="PWF7" s="24"/>
      <c r="PWG7" s="24"/>
      <c r="PWH7" s="24"/>
      <c r="PWI7" s="24"/>
      <c r="PWJ7" s="24"/>
      <c r="PWK7" s="24"/>
      <c r="PWL7" s="24"/>
      <c r="PWM7" s="24"/>
      <c r="PWN7" s="24"/>
      <c r="PWO7" s="24"/>
      <c r="PWP7" s="24"/>
      <c r="PWQ7" s="24"/>
      <c r="PWR7" s="24"/>
      <c r="PWS7" s="24"/>
      <c r="PWT7" s="24"/>
      <c r="PWU7" s="24"/>
      <c r="PWV7" s="24"/>
      <c r="PWW7" s="24"/>
      <c r="PWX7" s="24"/>
      <c r="PWY7" s="24"/>
      <c r="PWZ7" s="24"/>
      <c r="PXA7" s="24"/>
      <c r="PXB7" s="24"/>
      <c r="PXC7" s="24"/>
      <c r="PXD7" s="24"/>
      <c r="PXE7" s="24"/>
      <c r="PXF7" s="24"/>
      <c r="PXG7" s="24"/>
      <c r="PXH7" s="24"/>
      <c r="PXI7" s="24"/>
      <c r="PXJ7" s="24"/>
      <c r="PXK7" s="24"/>
      <c r="PXL7" s="24"/>
      <c r="PXM7" s="24"/>
      <c r="PXN7" s="24"/>
      <c r="PXO7" s="24"/>
      <c r="PXP7" s="24"/>
      <c r="PXQ7" s="24"/>
      <c r="PXR7" s="24"/>
      <c r="PXS7" s="24"/>
      <c r="PXT7" s="24"/>
      <c r="PXU7" s="24"/>
      <c r="PXV7" s="24"/>
      <c r="PXW7" s="24"/>
      <c r="PXX7" s="24"/>
      <c r="PXY7" s="24"/>
      <c r="PXZ7" s="24"/>
      <c r="PYA7" s="24"/>
      <c r="PYB7" s="24"/>
      <c r="PYC7" s="24"/>
      <c r="PYD7" s="24"/>
      <c r="PYE7" s="24"/>
      <c r="PYF7" s="24"/>
      <c r="PYG7" s="24"/>
      <c r="PYH7" s="24"/>
      <c r="PYI7" s="24"/>
      <c r="PYJ7" s="24"/>
      <c r="PYK7" s="24"/>
      <c r="PYL7" s="24"/>
      <c r="PYM7" s="24"/>
      <c r="PYN7" s="24"/>
      <c r="PYO7" s="24"/>
      <c r="PYP7" s="24"/>
      <c r="PYQ7" s="24"/>
      <c r="PYR7" s="24"/>
      <c r="PYS7" s="24"/>
      <c r="PYT7" s="24"/>
      <c r="PYU7" s="24"/>
      <c r="PYV7" s="24"/>
      <c r="PYW7" s="24"/>
      <c r="PYX7" s="24"/>
      <c r="PYY7" s="24"/>
      <c r="PYZ7" s="24"/>
      <c r="PZA7" s="24"/>
      <c r="PZB7" s="24"/>
      <c r="PZC7" s="24"/>
      <c r="PZD7" s="24"/>
      <c r="PZE7" s="24"/>
      <c r="PZF7" s="24"/>
      <c r="PZG7" s="24"/>
      <c r="PZH7" s="24"/>
      <c r="PZI7" s="24"/>
      <c r="PZJ7" s="24"/>
      <c r="PZK7" s="24"/>
      <c r="PZL7" s="24"/>
      <c r="PZM7" s="24"/>
      <c r="PZN7" s="24"/>
      <c r="PZO7" s="24"/>
      <c r="PZP7" s="24"/>
      <c r="PZQ7" s="24"/>
      <c r="PZR7" s="24"/>
      <c r="PZS7" s="24"/>
      <c r="PZT7" s="24"/>
      <c r="PZU7" s="24"/>
      <c r="PZV7" s="24"/>
      <c r="PZW7" s="24"/>
      <c r="PZX7" s="24"/>
      <c r="PZY7" s="24"/>
      <c r="PZZ7" s="24"/>
      <c r="QAA7" s="24"/>
      <c r="QAB7" s="24"/>
      <c r="QAC7" s="24"/>
      <c r="QAD7" s="24"/>
      <c r="QAE7" s="24"/>
      <c r="QAF7" s="24"/>
      <c r="QAG7" s="24"/>
      <c r="QAH7" s="24"/>
      <c r="QAI7" s="24"/>
      <c r="QAJ7" s="24"/>
      <c r="QAK7" s="24"/>
      <c r="QAL7" s="24"/>
      <c r="QAM7" s="24"/>
      <c r="QAN7" s="24"/>
      <c r="QAO7" s="24"/>
      <c r="QAP7" s="24"/>
      <c r="QAQ7" s="24"/>
      <c r="QAR7" s="24"/>
      <c r="QAS7" s="24"/>
      <c r="QAT7" s="24"/>
      <c r="QAU7" s="24"/>
      <c r="QAV7" s="24"/>
      <c r="QAW7" s="24"/>
      <c r="QAX7" s="24"/>
      <c r="QAY7" s="24"/>
      <c r="QAZ7" s="24"/>
      <c r="QBA7" s="24"/>
      <c r="QBB7" s="24"/>
      <c r="QBC7" s="24"/>
      <c r="QBD7" s="24"/>
      <c r="QBE7" s="24"/>
      <c r="QBF7" s="24"/>
      <c r="QBG7" s="24"/>
      <c r="QBH7" s="24"/>
      <c r="QBI7" s="24"/>
      <c r="QBJ7" s="24"/>
      <c r="QBK7" s="24"/>
      <c r="QBL7" s="24"/>
      <c r="QBM7" s="24"/>
      <c r="QBN7" s="24"/>
      <c r="QBO7" s="24"/>
      <c r="QBP7" s="24"/>
      <c r="QBQ7" s="24"/>
      <c r="QBR7" s="24"/>
      <c r="QBS7" s="24"/>
      <c r="QBT7" s="24"/>
      <c r="QBU7" s="24"/>
      <c r="QBV7" s="24"/>
      <c r="QBW7" s="24"/>
      <c r="QBX7" s="24"/>
      <c r="QBY7" s="24"/>
      <c r="QBZ7" s="24"/>
      <c r="QCA7" s="24"/>
      <c r="QCB7" s="24"/>
      <c r="QCC7" s="24"/>
      <c r="QCD7" s="24"/>
      <c r="QCE7" s="24"/>
      <c r="QCF7" s="24"/>
      <c r="QCG7" s="24"/>
      <c r="QCH7" s="24"/>
      <c r="QCI7" s="24"/>
      <c r="QCJ7" s="24"/>
      <c r="QCK7" s="24"/>
      <c r="QCL7" s="24"/>
      <c r="QCM7" s="24"/>
      <c r="QCN7" s="24"/>
      <c r="QCO7" s="24"/>
      <c r="QCP7" s="24"/>
      <c r="QCQ7" s="24"/>
      <c r="QCR7" s="24"/>
      <c r="QCS7" s="24"/>
      <c r="QCT7" s="24"/>
      <c r="QCU7" s="24"/>
      <c r="QCV7" s="24"/>
      <c r="QCW7" s="24"/>
      <c r="QCX7" s="24"/>
      <c r="QCY7" s="24"/>
      <c r="QCZ7" s="24"/>
      <c r="QDA7" s="24"/>
      <c r="QDB7" s="24"/>
      <c r="QDC7" s="24"/>
      <c r="QDD7" s="24"/>
      <c r="QDE7" s="24"/>
      <c r="QDF7" s="24"/>
      <c r="QDG7" s="24"/>
      <c r="QDH7" s="24"/>
      <c r="QDI7" s="24"/>
      <c r="QDJ7" s="24"/>
      <c r="QDK7" s="24"/>
      <c r="QDL7" s="24"/>
      <c r="QDM7" s="24"/>
      <c r="QDN7" s="24"/>
      <c r="QDO7" s="24"/>
      <c r="QDP7" s="24"/>
      <c r="QDQ7" s="24"/>
      <c r="QDR7" s="24"/>
      <c r="QDS7" s="24"/>
      <c r="QDT7" s="24"/>
      <c r="QDU7" s="24"/>
      <c r="QDV7" s="24"/>
      <c r="QDW7" s="24"/>
      <c r="QDX7" s="24"/>
      <c r="QDY7" s="24"/>
      <c r="QDZ7" s="24"/>
      <c r="QEA7" s="24"/>
      <c r="QEB7" s="24"/>
      <c r="QEC7" s="24"/>
      <c r="QED7" s="24"/>
      <c r="QEE7" s="24"/>
      <c r="QEF7" s="24"/>
      <c r="QEG7" s="24"/>
      <c r="QEH7" s="24"/>
      <c r="QEI7" s="24"/>
      <c r="QEJ7" s="24"/>
      <c r="QEK7" s="24"/>
      <c r="QEL7" s="24"/>
      <c r="QEM7" s="24"/>
      <c r="QEN7" s="24"/>
      <c r="QEO7" s="24"/>
      <c r="QEP7" s="24"/>
      <c r="QEQ7" s="24"/>
      <c r="QER7" s="24"/>
      <c r="QES7" s="24"/>
      <c r="QET7" s="24"/>
      <c r="QEU7" s="24"/>
      <c r="QEV7" s="24"/>
      <c r="QEW7" s="24"/>
      <c r="QEX7" s="24"/>
      <c r="QEY7" s="24"/>
      <c r="QEZ7" s="24"/>
      <c r="QFA7" s="24"/>
      <c r="QFB7" s="24"/>
      <c r="QFC7" s="24"/>
      <c r="QFD7" s="24"/>
      <c r="QFE7" s="24"/>
      <c r="QFF7" s="24"/>
      <c r="QFG7" s="24"/>
      <c r="QFH7" s="24"/>
      <c r="QFI7" s="24"/>
      <c r="QFJ7" s="24"/>
      <c r="QFK7" s="24"/>
      <c r="QFL7" s="24"/>
      <c r="QFM7" s="24"/>
      <c r="QFN7" s="24"/>
      <c r="QFO7" s="24"/>
      <c r="QFP7" s="24"/>
      <c r="QFQ7" s="24"/>
      <c r="QFR7" s="24"/>
      <c r="QFS7" s="24"/>
      <c r="QFT7" s="24"/>
      <c r="QFU7" s="24"/>
      <c r="QFV7" s="24"/>
      <c r="QFW7" s="24"/>
      <c r="QFX7" s="24"/>
      <c r="QFY7" s="24"/>
      <c r="QFZ7" s="24"/>
      <c r="QGA7" s="24"/>
      <c r="QGB7" s="24"/>
      <c r="QGC7" s="24"/>
      <c r="QGD7" s="24"/>
      <c r="QGE7" s="24"/>
      <c r="QGF7" s="24"/>
      <c r="QGG7" s="24"/>
      <c r="QGH7" s="24"/>
      <c r="QGI7" s="24"/>
      <c r="QGJ7" s="24"/>
      <c r="QGK7" s="24"/>
      <c r="QGL7" s="24"/>
      <c r="QGM7" s="24"/>
      <c r="QGN7" s="24"/>
      <c r="QGO7" s="24"/>
      <c r="QGP7" s="24"/>
      <c r="QGQ7" s="24"/>
      <c r="QGR7" s="24"/>
      <c r="QGS7" s="24"/>
      <c r="QGT7" s="24"/>
      <c r="QGU7" s="24"/>
      <c r="QGV7" s="24"/>
      <c r="QGW7" s="24"/>
      <c r="QGX7" s="24"/>
      <c r="QGY7" s="24"/>
      <c r="QGZ7" s="24"/>
      <c r="QHA7" s="24"/>
      <c r="QHB7" s="24"/>
      <c r="QHC7" s="24"/>
      <c r="QHD7" s="24"/>
      <c r="QHE7" s="24"/>
      <c r="QHF7" s="24"/>
      <c r="QHG7" s="24"/>
      <c r="QHH7" s="24"/>
      <c r="QHI7" s="24"/>
      <c r="QHJ7" s="24"/>
      <c r="QHK7" s="24"/>
      <c r="QHL7" s="24"/>
      <c r="QHM7" s="24"/>
      <c r="QHN7" s="24"/>
      <c r="QHO7" s="24"/>
      <c r="QHP7" s="24"/>
      <c r="QHQ7" s="24"/>
      <c r="QHR7" s="24"/>
      <c r="QHS7" s="24"/>
      <c r="QHT7" s="24"/>
      <c r="QHU7" s="24"/>
      <c r="QHV7" s="24"/>
      <c r="QHW7" s="24"/>
      <c r="QHX7" s="24"/>
      <c r="QHY7" s="24"/>
      <c r="QHZ7" s="24"/>
      <c r="QIA7" s="24"/>
      <c r="QIB7" s="24"/>
      <c r="QIC7" s="24"/>
      <c r="QID7" s="24"/>
      <c r="QIE7" s="24"/>
      <c r="QIF7" s="24"/>
      <c r="QIG7" s="24"/>
      <c r="QIH7" s="24"/>
      <c r="QII7" s="24"/>
      <c r="QIJ7" s="24"/>
      <c r="QIK7" s="24"/>
      <c r="QIL7" s="24"/>
      <c r="QIM7" s="24"/>
      <c r="QIN7" s="24"/>
      <c r="QIO7" s="24"/>
      <c r="QIP7" s="24"/>
      <c r="QIQ7" s="24"/>
      <c r="QIR7" s="24"/>
      <c r="QIS7" s="24"/>
      <c r="QIT7" s="24"/>
      <c r="QIU7" s="24"/>
      <c r="QIV7" s="24"/>
      <c r="QIW7" s="24"/>
      <c r="QIX7" s="24"/>
      <c r="QIY7" s="24"/>
      <c r="QIZ7" s="24"/>
      <c r="QJA7" s="24"/>
      <c r="QJB7" s="24"/>
      <c r="QJC7" s="24"/>
      <c r="QJD7" s="24"/>
      <c r="QJE7" s="24"/>
      <c r="QJF7" s="24"/>
      <c r="QJG7" s="24"/>
      <c r="QJH7" s="24"/>
      <c r="QJI7" s="24"/>
      <c r="QJJ7" s="24"/>
      <c r="QJK7" s="24"/>
      <c r="QJL7" s="24"/>
      <c r="QJM7" s="24"/>
      <c r="QJN7" s="24"/>
      <c r="QJO7" s="24"/>
      <c r="QJP7" s="24"/>
      <c r="QJQ7" s="24"/>
      <c r="QJR7" s="24"/>
      <c r="QJS7" s="24"/>
      <c r="QJT7" s="24"/>
      <c r="QJU7" s="24"/>
      <c r="QJV7" s="24"/>
      <c r="QJW7" s="24"/>
      <c r="QJX7" s="24"/>
      <c r="QJY7" s="24"/>
      <c r="QJZ7" s="24"/>
      <c r="QKA7" s="24"/>
      <c r="QKB7" s="24"/>
      <c r="QKC7" s="24"/>
      <c r="QKD7" s="24"/>
      <c r="QKE7" s="24"/>
      <c r="QKF7" s="24"/>
      <c r="QKG7" s="24"/>
      <c r="QKH7" s="24"/>
      <c r="QKI7" s="24"/>
      <c r="QKJ7" s="24"/>
      <c r="QKK7" s="24"/>
      <c r="QKL7" s="24"/>
      <c r="QKM7" s="24"/>
      <c r="QKN7" s="24"/>
      <c r="QKO7" s="24"/>
      <c r="QKP7" s="24"/>
      <c r="QKQ7" s="24"/>
      <c r="QKR7" s="24"/>
      <c r="QKS7" s="24"/>
      <c r="QKT7" s="24"/>
      <c r="QKU7" s="24"/>
      <c r="QKV7" s="24"/>
      <c r="QKW7" s="24"/>
      <c r="QKX7" s="24"/>
      <c r="QKY7" s="24"/>
      <c r="QKZ7" s="24"/>
      <c r="QLA7" s="24"/>
      <c r="QLB7" s="24"/>
      <c r="QLC7" s="24"/>
      <c r="QLD7" s="24"/>
      <c r="QLE7" s="24"/>
      <c r="QLF7" s="24"/>
      <c r="QLG7" s="24"/>
      <c r="QLH7" s="24"/>
      <c r="QLI7" s="24"/>
      <c r="QLJ7" s="24"/>
      <c r="QLK7" s="24"/>
      <c r="QLL7" s="24"/>
      <c r="QLM7" s="24"/>
      <c r="QLN7" s="24"/>
      <c r="QLO7" s="24"/>
      <c r="QLP7" s="24"/>
      <c r="QLQ7" s="24"/>
      <c r="QLR7" s="24"/>
      <c r="QLS7" s="24"/>
      <c r="QLT7" s="24"/>
      <c r="QLU7" s="24"/>
      <c r="QLV7" s="24"/>
      <c r="QLW7" s="24"/>
      <c r="QLX7" s="24"/>
      <c r="QLY7" s="24"/>
      <c r="QLZ7" s="24"/>
      <c r="QMA7" s="24"/>
      <c r="QMB7" s="24"/>
      <c r="QMC7" s="24"/>
      <c r="QMD7" s="24"/>
      <c r="QME7" s="24"/>
      <c r="QMF7" s="24"/>
      <c r="QMG7" s="24"/>
      <c r="QMH7" s="24"/>
      <c r="QMI7" s="24"/>
      <c r="QMJ7" s="24"/>
      <c r="QMK7" s="24"/>
      <c r="QML7" s="24"/>
      <c r="QMM7" s="24"/>
      <c r="QMN7" s="24"/>
      <c r="QMO7" s="24"/>
      <c r="QMP7" s="24"/>
      <c r="QMQ7" s="24"/>
      <c r="QMR7" s="24"/>
      <c r="QMS7" s="24"/>
      <c r="QMT7" s="24"/>
      <c r="QMU7" s="24"/>
      <c r="QMV7" s="24"/>
      <c r="QMW7" s="24"/>
      <c r="QMX7" s="24"/>
      <c r="QMY7" s="24"/>
      <c r="QMZ7" s="24"/>
      <c r="QNA7" s="24"/>
      <c r="QNB7" s="24"/>
      <c r="QNC7" s="24"/>
      <c r="QND7" s="24"/>
      <c r="QNE7" s="24"/>
      <c r="QNF7" s="24"/>
      <c r="QNG7" s="24"/>
      <c r="QNH7" s="24"/>
      <c r="QNI7" s="24"/>
      <c r="QNJ7" s="24"/>
      <c r="QNK7" s="24"/>
      <c r="QNL7" s="24"/>
      <c r="QNM7" s="24"/>
      <c r="QNN7" s="24"/>
      <c r="QNO7" s="24"/>
      <c r="QNP7" s="24"/>
      <c r="QNQ7" s="24"/>
      <c r="QNR7" s="24"/>
      <c r="QNS7" s="24"/>
      <c r="QNT7" s="24"/>
      <c r="QNU7" s="24"/>
      <c r="QNV7" s="24"/>
      <c r="QNW7" s="24"/>
      <c r="QNX7" s="24"/>
      <c r="QNY7" s="24"/>
      <c r="QNZ7" s="24"/>
      <c r="QOA7" s="24"/>
      <c r="QOB7" s="24"/>
      <c r="QOC7" s="24"/>
      <c r="QOD7" s="24"/>
      <c r="QOE7" s="24"/>
      <c r="QOF7" s="24"/>
      <c r="QOG7" s="24"/>
      <c r="QOH7" s="24"/>
      <c r="QOI7" s="24"/>
      <c r="QOJ7" s="24"/>
      <c r="QOK7" s="24"/>
      <c r="QOL7" s="24"/>
      <c r="QOM7" s="24"/>
      <c r="QON7" s="24"/>
      <c r="QOO7" s="24"/>
      <c r="QOP7" s="24"/>
      <c r="QOQ7" s="24"/>
      <c r="QOR7" s="24"/>
      <c r="QOS7" s="24"/>
      <c r="QOT7" s="24"/>
      <c r="QOU7" s="24"/>
      <c r="QOV7" s="24"/>
      <c r="QOW7" s="24"/>
      <c r="QOX7" s="24"/>
      <c r="QOY7" s="24"/>
      <c r="QOZ7" s="24"/>
      <c r="QPA7" s="24"/>
      <c r="QPB7" s="24"/>
      <c r="QPC7" s="24"/>
      <c r="QPD7" s="24"/>
      <c r="QPE7" s="24"/>
      <c r="QPF7" s="24"/>
      <c r="QPG7" s="24"/>
      <c r="QPH7" s="24"/>
      <c r="QPI7" s="24"/>
      <c r="QPJ7" s="24"/>
      <c r="QPK7" s="24"/>
      <c r="QPL7" s="24"/>
      <c r="QPM7" s="24"/>
      <c r="QPN7" s="24"/>
      <c r="QPO7" s="24"/>
      <c r="QPP7" s="24"/>
      <c r="QPQ7" s="24"/>
      <c r="QPR7" s="24"/>
      <c r="QPS7" s="24"/>
      <c r="QPT7" s="24"/>
      <c r="QPU7" s="24"/>
      <c r="QPV7" s="24"/>
      <c r="QPW7" s="24"/>
      <c r="QPX7" s="24"/>
      <c r="QPY7" s="24"/>
      <c r="QPZ7" s="24"/>
      <c r="QQA7" s="24"/>
      <c r="QQB7" s="24"/>
      <c r="QQC7" s="24"/>
      <c r="QQD7" s="24"/>
      <c r="QQE7" s="24"/>
      <c r="QQF7" s="24"/>
      <c r="QQG7" s="24"/>
      <c r="QQH7" s="24"/>
      <c r="QQI7" s="24"/>
      <c r="QQJ7" s="24"/>
      <c r="QQK7" s="24"/>
      <c r="QQL7" s="24"/>
      <c r="QQM7" s="24"/>
      <c r="QQN7" s="24"/>
      <c r="QQO7" s="24"/>
      <c r="QQP7" s="24"/>
      <c r="QQQ7" s="24"/>
      <c r="QQR7" s="24"/>
      <c r="QQS7" s="24"/>
      <c r="QQT7" s="24"/>
      <c r="QQU7" s="24"/>
      <c r="QQV7" s="24"/>
      <c r="QQW7" s="24"/>
      <c r="QQX7" s="24"/>
      <c r="QQY7" s="24"/>
      <c r="QQZ7" s="24"/>
      <c r="QRA7" s="24"/>
      <c r="QRB7" s="24"/>
      <c r="QRC7" s="24"/>
      <c r="QRD7" s="24"/>
      <c r="QRE7" s="24"/>
      <c r="QRF7" s="24"/>
      <c r="QRG7" s="24"/>
      <c r="QRH7" s="24"/>
      <c r="QRI7" s="24"/>
      <c r="QRJ7" s="24"/>
      <c r="QRK7" s="24"/>
      <c r="QRL7" s="24"/>
      <c r="QRM7" s="24"/>
      <c r="QRN7" s="24"/>
      <c r="QRO7" s="24"/>
      <c r="QRP7" s="24"/>
      <c r="QRQ7" s="24"/>
      <c r="QRR7" s="24"/>
      <c r="QRS7" s="24"/>
      <c r="QRT7" s="24"/>
      <c r="QRU7" s="24"/>
      <c r="QRV7" s="24"/>
      <c r="QRW7" s="24"/>
      <c r="QRX7" s="24"/>
      <c r="QRY7" s="24"/>
      <c r="QRZ7" s="24"/>
      <c r="QSA7" s="24"/>
      <c r="QSB7" s="24"/>
      <c r="QSC7" s="24"/>
      <c r="QSD7" s="24"/>
      <c r="QSE7" s="24"/>
      <c r="QSF7" s="24"/>
      <c r="QSG7" s="24"/>
      <c r="QSH7" s="24"/>
      <c r="QSI7" s="24"/>
      <c r="QSJ7" s="24"/>
      <c r="QSK7" s="24"/>
      <c r="QSL7" s="24"/>
      <c r="QSM7" s="24"/>
      <c r="QSN7" s="24"/>
      <c r="QSO7" s="24"/>
      <c r="QSP7" s="24"/>
      <c r="QSQ7" s="24"/>
      <c r="QSR7" s="24"/>
      <c r="QSS7" s="24"/>
      <c r="QST7" s="24"/>
      <c r="QSU7" s="24"/>
      <c r="QSV7" s="24"/>
      <c r="QSW7" s="24"/>
      <c r="QSX7" s="24"/>
      <c r="QSY7" s="24"/>
      <c r="QSZ7" s="24"/>
      <c r="QTA7" s="24"/>
      <c r="QTB7" s="24"/>
      <c r="QTC7" s="24"/>
      <c r="QTD7" s="24"/>
      <c r="QTE7" s="24"/>
      <c r="QTF7" s="24"/>
      <c r="QTG7" s="24"/>
      <c r="QTH7" s="24"/>
      <c r="QTI7" s="24"/>
      <c r="QTJ7" s="24"/>
      <c r="QTK7" s="24"/>
      <c r="QTL7" s="24"/>
      <c r="QTM7" s="24"/>
      <c r="QTN7" s="24"/>
      <c r="QTO7" s="24"/>
      <c r="QTP7" s="24"/>
      <c r="QTQ7" s="24"/>
      <c r="QTR7" s="24"/>
      <c r="QTS7" s="24"/>
      <c r="QTT7" s="24"/>
      <c r="QTU7" s="24"/>
      <c r="QTV7" s="24"/>
      <c r="QTW7" s="24"/>
      <c r="QTX7" s="24"/>
      <c r="QTY7" s="24"/>
      <c r="QTZ7" s="24"/>
      <c r="QUA7" s="24"/>
      <c r="QUB7" s="24"/>
      <c r="QUC7" s="24"/>
      <c r="QUD7" s="24"/>
      <c r="QUE7" s="24"/>
      <c r="QUF7" s="24"/>
      <c r="QUG7" s="24"/>
      <c r="QUH7" s="24"/>
      <c r="QUI7" s="24"/>
      <c r="QUJ7" s="24"/>
      <c r="QUK7" s="24"/>
      <c r="QUL7" s="24"/>
      <c r="QUM7" s="24"/>
      <c r="QUN7" s="24"/>
      <c r="QUO7" s="24"/>
      <c r="QUP7" s="24"/>
      <c r="QUQ7" s="24"/>
      <c r="QUR7" s="24"/>
      <c r="QUS7" s="24"/>
      <c r="QUT7" s="24"/>
      <c r="QUU7" s="24"/>
      <c r="QUV7" s="24"/>
      <c r="QUW7" s="24"/>
      <c r="QUX7" s="24"/>
      <c r="QUY7" s="24"/>
      <c r="QUZ7" s="24"/>
      <c r="QVA7" s="24"/>
      <c r="QVB7" s="24"/>
      <c r="QVC7" s="24"/>
      <c r="QVD7" s="24"/>
      <c r="QVE7" s="24"/>
      <c r="QVF7" s="24"/>
      <c r="QVG7" s="24"/>
      <c r="QVH7" s="24"/>
      <c r="QVI7" s="24"/>
      <c r="QVJ7" s="24"/>
      <c r="QVK7" s="24"/>
      <c r="QVL7" s="24"/>
      <c r="QVM7" s="24"/>
      <c r="QVN7" s="24"/>
      <c r="QVO7" s="24"/>
      <c r="QVP7" s="24"/>
      <c r="QVQ7" s="24"/>
      <c r="QVR7" s="24"/>
      <c r="QVS7" s="24"/>
      <c r="QVT7" s="24"/>
      <c r="QVU7" s="24"/>
      <c r="QVV7" s="24"/>
      <c r="QVW7" s="24"/>
      <c r="QVX7" s="24"/>
      <c r="QVY7" s="24"/>
      <c r="QVZ7" s="24"/>
      <c r="QWA7" s="24"/>
      <c r="QWB7" s="24"/>
      <c r="QWC7" s="24"/>
      <c r="QWD7" s="24"/>
      <c r="QWE7" s="24"/>
      <c r="QWF7" s="24"/>
      <c r="QWG7" s="24"/>
      <c r="QWH7" s="24"/>
      <c r="QWI7" s="24"/>
      <c r="QWJ7" s="24"/>
      <c r="QWK7" s="24"/>
      <c r="QWL7" s="24"/>
      <c r="QWM7" s="24"/>
      <c r="QWN7" s="24"/>
      <c r="QWO7" s="24"/>
      <c r="QWP7" s="24"/>
      <c r="QWQ7" s="24"/>
      <c r="QWR7" s="24"/>
      <c r="QWS7" s="24"/>
      <c r="QWT7" s="24"/>
      <c r="QWU7" s="24"/>
      <c r="QWV7" s="24"/>
      <c r="QWW7" s="24"/>
      <c r="QWX7" s="24"/>
      <c r="QWY7" s="24"/>
      <c r="QWZ7" s="24"/>
      <c r="QXA7" s="24"/>
      <c r="QXB7" s="24"/>
      <c r="QXC7" s="24"/>
      <c r="QXD7" s="24"/>
      <c r="QXE7" s="24"/>
      <c r="QXF7" s="24"/>
      <c r="QXG7" s="24"/>
      <c r="QXH7" s="24"/>
      <c r="QXI7" s="24"/>
      <c r="QXJ7" s="24"/>
      <c r="QXK7" s="24"/>
      <c r="QXL7" s="24"/>
      <c r="QXM7" s="24"/>
      <c r="QXN7" s="24"/>
      <c r="QXO7" s="24"/>
      <c r="QXP7" s="24"/>
      <c r="QXQ7" s="24"/>
      <c r="QXR7" s="24"/>
      <c r="QXS7" s="24"/>
      <c r="QXT7" s="24"/>
      <c r="QXU7" s="24"/>
      <c r="QXV7" s="24"/>
      <c r="QXW7" s="24"/>
      <c r="QXX7" s="24"/>
      <c r="QXY7" s="24"/>
      <c r="QXZ7" s="24"/>
      <c r="QYA7" s="24"/>
      <c r="QYB7" s="24"/>
      <c r="QYC7" s="24"/>
      <c r="QYD7" s="24"/>
      <c r="QYE7" s="24"/>
      <c r="QYF7" s="24"/>
      <c r="QYG7" s="24"/>
      <c r="QYH7" s="24"/>
      <c r="QYI7" s="24"/>
      <c r="QYJ7" s="24"/>
      <c r="QYK7" s="24"/>
      <c r="QYL7" s="24"/>
      <c r="QYM7" s="24"/>
      <c r="QYN7" s="24"/>
      <c r="QYO7" s="24"/>
      <c r="QYP7" s="24"/>
      <c r="QYQ7" s="24"/>
      <c r="QYR7" s="24"/>
      <c r="QYS7" s="24"/>
      <c r="QYT7" s="24"/>
      <c r="QYU7" s="24"/>
      <c r="QYV7" s="24"/>
      <c r="QYW7" s="24"/>
      <c r="QYX7" s="24"/>
      <c r="QYY7" s="24"/>
      <c r="QYZ7" s="24"/>
      <c r="QZA7" s="24"/>
      <c r="QZB7" s="24"/>
      <c r="QZC7" s="24"/>
      <c r="QZD7" s="24"/>
      <c r="QZE7" s="24"/>
      <c r="QZF7" s="24"/>
      <c r="QZG7" s="24"/>
      <c r="QZH7" s="24"/>
      <c r="QZI7" s="24"/>
      <c r="QZJ7" s="24"/>
      <c r="QZK7" s="24"/>
      <c r="QZL7" s="24"/>
      <c r="QZM7" s="24"/>
      <c r="QZN7" s="24"/>
      <c r="QZO7" s="24"/>
      <c r="QZP7" s="24"/>
      <c r="QZQ7" s="24"/>
      <c r="QZR7" s="24"/>
      <c r="QZS7" s="24"/>
      <c r="QZT7" s="24"/>
      <c r="QZU7" s="24"/>
      <c r="QZV7" s="24"/>
      <c r="QZW7" s="24"/>
      <c r="QZX7" s="24"/>
      <c r="QZY7" s="24"/>
      <c r="QZZ7" s="24"/>
      <c r="RAA7" s="24"/>
      <c r="RAB7" s="24"/>
      <c r="RAC7" s="24"/>
      <c r="RAD7" s="24"/>
      <c r="RAE7" s="24"/>
      <c r="RAF7" s="24"/>
      <c r="RAG7" s="24"/>
      <c r="RAH7" s="24"/>
      <c r="RAI7" s="24"/>
      <c r="RAJ7" s="24"/>
      <c r="RAK7" s="24"/>
      <c r="RAL7" s="24"/>
      <c r="RAM7" s="24"/>
      <c r="RAN7" s="24"/>
      <c r="RAO7" s="24"/>
      <c r="RAP7" s="24"/>
      <c r="RAQ7" s="24"/>
      <c r="RAR7" s="24"/>
      <c r="RAS7" s="24"/>
      <c r="RAT7" s="24"/>
      <c r="RAU7" s="24"/>
      <c r="RAV7" s="24"/>
      <c r="RAW7" s="24"/>
      <c r="RAX7" s="24"/>
      <c r="RAY7" s="24"/>
      <c r="RAZ7" s="24"/>
      <c r="RBA7" s="24"/>
      <c r="RBB7" s="24"/>
      <c r="RBC7" s="24"/>
      <c r="RBD7" s="24"/>
      <c r="RBE7" s="24"/>
      <c r="RBF7" s="24"/>
      <c r="RBG7" s="24"/>
      <c r="RBH7" s="24"/>
      <c r="RBI7" s="24"/>
      <c r="RBJ7" s="24"/>
      <c r="RBK7" s="24"/>
      <c r="RBL7" s="24"/>
      <c r="RBM7" s="24"/>
      <c r="RBN7" s="24"/>
      <c r="RBO7" s="24"/>
      <c r="RBP7" s="24"/>
      <c r="RBQ7" s="24"/>
      <c r="RBR7" s="24"/>
      <c r="RBS7" s="24"/>
      <c r="RBT7" s="24"/>
      <c r="RBU7" s="24"/>
      <c r="RBV7" s="24"/>
      <c r="RBW7" s="24"/>
      <c r="RBX7" s="24"/>
      <c r="RBY7" s="24"/>
      <c r="RBZ7" s="24"/>
      <c r="RCA7" s="24"/>
      <c r="RCB7" s="24"/>
      <c r="RCC7" s="24"/>
      <c r="RCD7" s="24"/>
      <c r="RCE7" s="24"/>
      <c r="RCF7" s="24"/>
      <c r="RCG7" s="24"/>
      <c r="RCH7" s="24"/>
      <c r="RCI7" s="24"/>
      <c r="RCJ7" s="24"/>
      <c r="RCK7" s="24"/>
      <c r="RCL7" s="24"/>
      <c r="RCM7" s="24"/>
      <c r="RCN7" s="24"/>
      <c r="RCO7" s="24"/>
      <c r="RCP7" s="24"/>
      <c r="RCQ7" s="24"/>
      <c r="RCR7" s="24"/>
      <c r="RCS7" s="24"/>
      <c r="RCT7" s="24"/>
      <c r="RCU7" s="24"/>
      <c r="RCV7" s="24"/>
      <c r="RCW7" s="24"/>
      <c r="RCX7" s="24"/>
      <c r="RCY7" s="24"/>
      <c r="RCZ7" s="24"/>
      <c r="RDA7" s="24"/>
      <c r="RDB7" s="24"/>
      <c r="RDC7" s="24"/>
      <c r="RDD7" s="24"/>
      <c r="RDE7" s="24"/>
      <c r="RDF7" s="24"/>
      <c r="RDG7" s="24"/>
      <c r="RDH7" s="24"/>
      <c r="RDI7" s="24"/>
      <c r="RDJ7" s="24"/>
      <c r="RDK7" s="24"/>
      <c r="RDL7" s="24"/>
      <c r="RDM7" s="24"/>
      <c r="RDN7" s="24"/>
      <c r="RDO7" s="24"/>
      <c r="RDP7" s="24"/>
      <c r="RDQ7" s="24"/>
      <c r="RDR7" s="24"/>
      <c r="RDS7" s="24"/>
      <c r="RDT7" s="24"/>
      <c r="RDU7" s="24"/>
      <c r="RDV7" s="24"/>
      <c r="RDW7" s="24"/>
      <c r="RDX7" s="24"/>
      <c r="RDY7" s="24"/>
      <c r="RDZ7" s="24"/>
      <c r="REA7" s="24"/>
      <c r="REB7" s="24"/>
      <c r="REC7" s="24"/>
      <c r="RED7" s="24"/>
      <c r="REE7" s="24"/>
      <c r="REF7" s="24"/>
      <c r="REG7" s="24"/>
      <c r="REH7" s="24"/>
      <c r="REI7" s="24"/>
      <c r="REJ7" s="24"/>
      <c r="REK7" s="24"/>
      <c r="REL7" s="24"/>
      <c r="REM7" s="24"/>
      <c r="REN7" s="24"/>
      <c r="REO7" s="24"/>
      <c r="REP7" s="24"/>
      <c r="REQ7" s="24"/>
      <c r="RER7" s="24"/>
      <c r="RES7" s="24"/>
      <c r="RET7" s="24"/>
      <c r="REU7" s="24"/>
      <c r="REV7" s="24"/>
      <c r="REW7" s="24"/>
      <c r="REX7" s="24"/>
      <c r="REY7" s="24"/>
      <c r="REZ7" s="24"/>
      <c r="RFA7" s="24"/>
      <c r="RFB7" s="24"/>
      <c r="RFC7" s="24"/>
      <c r="RFD7" s="24"/>
      <c r="RFE7" s="24"/>
      <c r="RFF7" s="24"/>
      <c r="RFG7" s="24"/>
      <c r="RFH7" s="24"/>
      <c r="RFI7" s="24"/>
      <c r="RFJ7" s="24"/>
      <c r="RFK7" s="24"/>
      <c r="RFL7" s="24"/>
      <c r="RFM7" s="24"/>
      <c r="RFN7" s="24"/>
      <c r="RFO7" s="24"/>
      <c r="RFP7" s="24"/>
      <c r="RFQ7" s="24"/>
      <c r="RFR7" s="24"/>
      <c r="RFS7" s="24"/>
      <c r="RFT7" s="24"/>
      <c r="RFU7" s="24"/>
      <c r="RFV7" s="24"/>
      <c r="RFW7" s="24"/>
      <c r="RFX7" s="24"/>
      <c r="RFY7" s="24"/>
      <c r="RFZ7" s="24"/>
      <c r="RGA7" s="24"/>
      <c r="RGB7" s="24"/>
      <c r="RGC7" s="24"/>
      <c r="RGD7" s="24"/>
      <c r="RGE7" s="24"/>
      <c r="RGF7" s="24"/>
      <c r="RGG7" s="24"/>
      <c r="RGH7" s="24"/>
      <c r="RGI7" s="24"/>
      <c r="RGJ7" s="24"/>
      <c r="RGK7" s="24"/>
      <c r="RGL7" s="24"/>
      <c r="RGM7" s="24"/>
      <c r="RGN7" s="24"/>
      <c r="RGO7" s="24"/>
      <c r="RGP7" s="24"/>
      <c r="RGQ7" s="24"/>
      <c r="RGR7" s="24"/>
      <c r="RGS7" s="24"/>
      <c r="RGT7" s="24"/>
      <c r="RGU7" s="24"/>
      <c r="RGV7" s="24"/>
      <c r="RGW7" s="24"/>
      <c r="RGX7" s="24"/>
      <c r="RGY7" s="24"/>
      <c r="RGZ7" s="24"/>
      <c r="RHA7" s="24"/>
      <c r="RHB7" s="24"/>
      <c r="RHC7" s="24"/>
      <c r="RHD7" s="24"/>
      <c r="RHE7" s="24"/>
      <c r="RHF7" s="24"/>
      <c r="RHG7" s="24"/>
      <c r="RHH7" s="24"/>
      <c r="RHI7" s="24"/>
      <c r="RHJ7" s="24"/>
      <c r="RHK7" s="24"/>
      <c r="RHL7" s="24"/>
      <c r="RHM7" s="24"/>
      <c r="RHN7" s="24"/>
      <c r="RHO7" s="24"/>
      <c r="RHP7" s="24"/>
      <c r="RHQ7" s="24"/>
      <c r="RHR7" s="24"/>
      <c r="RHS7" s="24"/>
      <c r="RHT7" s="24"/>
      <c r="RHU7" s="24"/>
      <c r="RHV7" s="24"/>
      <c r="RHW7" s="24"/>
      <c r="RHX7" s="24"/>
      <c r="RHY7" s="24"/>
      <c r="RHZ7" s="24"/>
      <c r="RIA7" s="24"/>
      <c r="RIB7" s="24"/>
      <c r="RIC7" s="24"/>
      <c r="RID7" s="24"/>
      <c r="RIE7" s="24"/>
      <c r="RIF7" s="24"/>
      <c r="RIG7" s="24"/>
      <c r="RIH7" s="24"/>
      <c r="RII7" s="24"/>
      <c r="RIJ7" s="24"/>
      <c r="RIK7" s="24"/>
      <c r="RIL7" s="24"/>
      <c r="RIM7" s="24"/>
      <c r="RIN7" s="24"/>
      <c r="RIO7" s="24"/>
      <c r="RIP7" s="24"/>
      <c r="RIQ7" s="24"/>
      <c r="RIR7" s="24"/>
      <c r="RIS7" s="24"/>
      <c r="RIT7" s="24"/>
      <c r="RIU7" s="24"/>
      <c r="RIV7" s="24"/>
      <c r="RIW7" s="24"/>
      <c r="RIX7" s="24"/>
      <c r="RIY7" s="24"/>
      <c r="RIZ7" s="24"/>
      <c r="RJA7" s="24"/>
      <c r="RJB7" s="24"/>
      <c r="RJC7" s="24"/>
      <c r="RJD7" s="24"/>
      <c r="RJE7" s="24"/>
      <c r="RJF7" s="24"/>
      <c r="RJG7" s="24"/>
      <c r="RJH7" s="24"/>
      <c r="RJI7" s="24"/>
      <c r="RJJ7" s="24"/>
      <c r="RJK7" s="24"/>
      <c r="RJL7" s="24"/>
      <c r="RJM7" s="24"/>
      <c r="RJN7" s="24"/>
      <c r="RJO7" s="24"/>
      <c r="RJP7" s="24"/>
      <c r="RJQ7" s="24"/>
      <c r="RJR7" s="24"/>
      <c r="RJS7" s="24"/>
      <c r="RJT7" s="24"/>
      <c r="RJU7" s="24"/>
      <c r="RJV7" s="24"/>
      <c r="RJW7" s="24"/>
      <c r="RJX7" s="24"/>
      <c r="RJY7" s="24"/>
      <c r="RJZ7" s="24"/>
      <c r="RKA7" s="24"/>
      <c r="RKB7" s="24"/>
      <c r="RKC7" s="24"/>
      <c r="RKD7" s="24"/>
      <c r="RKE7" s="24"/>
      <c r="RKF7" s="24"/>
      <c r="RKG7" s="24"/>
      <c r="RKH7" s="24"/>
      <c r="RKI7" s="24"/>
      <c r="RKJ7" s="24"/>
      <c r="RKK7" s="24"/>
      <c r="RKL7" s="24"/>
      <c r="RKM7" s="24"/>
      <c r="RKN7" s="24"/>
      <c r="RKO7" s="24"/>
      <c r="RKP7" s="24"/>
      <c r="RKQ7" s="24"/>
      <c r="RKR7" s="24"/>
      <c r="RKS7" s="24"/>
      <c r="RKT7" s="24"/>
      <c r="RKU7" s="24"/>
      <c r="RKV7" s="24"/>
      <c r="RKW7" s="24"/>
      <c r="RKX7" s="24"/>
      <c r="RKY7" s="24"/>
      <c r="RKZ7" s="24"/>
      <c r="RLA7" s="24"/>
      <c r="RLB7" s="24"/>
      <c r="RLC7" s="24"/>
      <c r="RLD7" s="24"/>
      <c r="RLE7" s="24"/>
      <c r="RLF7" s="24"/>
      <c r="RLG7" s="24"/>
      <c r="RLH7" s="24"/>
      <c r="RLI7" s="24"/>
      <c r="RLJ7" s="24"/>
      <c r="RLK7" s="24"/>
      <c r="RLL7" s="24"/>
      <c r="RLM7" s="24"/>
      <c r="RLN7" s="24"/>
      <c r="RLO7" s="24"/>
      <c r="RLP7" s="24"/>
      <c r="RLQ7" s="24"/>
      <c r="RLR7" s="24"/>
      <c r="RLS7" s="24"/>
      <c r="RLT7" s="24"/>
      <c r="RLU7" s="24"/>
      <c r="RLV7" s="24"/>
      <c r="RLW7" s="24"/>
      <c r="RLX7" s="24"/>
      <c r="RLY7" s="24"/>
      <c r="RLZ7" s="24"/>
      <c r="RMA7" s="24"/>
      <c r="RMB7" s="24"/>
      <c r="RMC7" s="24"/>
      <c r="RMD7" s="24"/>
      <c r="RME7" s="24"/>
      <c r="RMF7" s="24"/>
      <c r="RMG7" s="24"/>
      <c r="RMH7" s="24"/>
      <c r="RMI7" s="24"/>
      <c r="RMJ7" s="24"/>
      <c r="RMK7" s="24"/>
      <c r="RML7" s="24"/>
      <c r="RMM7" s="24"/>
      <c r="RMN7" s="24"/>
      <c r="RMO7" s="24"/>
      <c r="RMP7" s="24"/>
      <c r="RMQ7" s="24"/>
      <c r="RMR7" s="24"/>
      <c r="RMS7" s="24"/>
      <c r="RMT7" s="24"/>
      <c r="RMU7" s="24"/>
      <c r="RMV7" s="24"/>
      <c r="RMW7" s="24"/>
      <c r="RMX7" s="24"/>
      <c r="RMY7" s="24"/>
      <c r="RMZ7" s="24"/>
      <c r="RNA7" s="24"/>
      <c r="RNB7" s="24"/>
      <c r="RNC7" s="24"/>
      <c r="RND7" s="24"/>
      <c r="RNE7" s="24"/>
      <c r="RNF7" s="24"/>
      <c r="RNG7" s="24"/>
      <c r="RNH7" s="24"/>
      <c r="RNI7" s="24"/>
      <c r="RNJ7" s="24"/>
      <c r="RNK7" s="24"/>
      <c r="RNL7" s="24"/>
      <c r="RNM7" s="24"/>
      <c r="RNN7" s="24"/>
      <c r="RNO7" s="24"/>
      <c r="RNP7" s="24"/>
      <c r="RNQ7" s="24"/>
      <c r="RNR7" s="24"/>
      <c r="RNS7" s="24"/>
      <c r="RNT7" s="24"/>
      <c r="RNU7" s="24"/>
      <c r="RNV7" s="24"/>
      <c r="RNW7" s="24"/>
      <c r="RNX7" s="24"/>
      <c r="RNY7" s="24"/>
      <c r="RNZ7" s="24"/>
      <c r="ROA7" s="24"/>
      <c r="ROB7" s="24"/>
      <c r="ROC7" s="24"/>
      <c r="ROD7" s="24"/>
      <c r="ROE7" s="24"/>
      <c r="ROF7" s="24"/>
      <c r="ROG7" s="24"/>
      <c r="ROH7" s="24"/>
      <c r="ROI7" s="24"/>
      <c r="ROJ7" s="24"/>
      <c r="ROK7" s="24"/>
      <c r="ROL7" s="24"/>
      <c r="ROM7" s="24"/>
      <c r="RON7" s="24"/>
      <c r="ROO7" s="24"/>
      <c r="ROP7" s="24"/>
      <c r="ROQ7" s="24"/>
      <c r="ROR7" s="24"/>
      <c r="ROS7" s="24"/>
      <c r="ROT7" s="24"/>
      <c r="ROU7" s="24"/>
      <c r="ROV7" s="24"/>
      <c r="ROW7" s="24"/>
      <c r="ROX7" s="24"/>
      <c r="ROY7" s="24"/>
      <c r="ROZ7" s="24"/>
      <c r="RPA7" s="24"/>
      <c r="RPB7" s="24"/>
      <c r="RPC7" s="24"/>
      <c r="RPD7" s="24"/>
      <c r="RPE7" s="24"/>
      <c r="RPF7" s="24"/>
      <c r="RPG7" s="24"/>
      <c r="RPH7" s="24"/>
      <c r="RPI7" s="24"/>
      <c r="RPJ7" s="24"/>
      <c r="RPK7" s="24"/>
      <c r="RPL7" s="24"/>
      <c r="RPM7" s="24"/>
      <c r="RPN7" s="24"/>
      <c r="RPO7" s="24"/>
      <c r="RPP7" s="24"/>
      <c r="RPQ7" s="24"/>
      <c r="RPR7" s="24"/>
      <c r="RPS7" s="24"/>
      <c r="RPT7" s="24"/>
      <c r="RPU7" s="24"/>
      <c r="RPV7" s="24"/>
      <c r="RPW7" s="24"/>
      <c r="RPX7" s="24"/>
      <c r="RPY7" s="24"/>
      <c r="RPZ7" s="24"/>
      <c r="RQA7" s="24"/>
      <c r="RQB7" s="24"/>
      <c r="RQC7" s="24"/>
      <c r="RQD7" s="24"/>
      <c r="RQE7" s="24"/>
      <c r="RQF7" s="24"/>
      <c r="RQG7" s="24"/>
      <c r="RQH7" s="24"/>
      <c r="RQI7" s="24"/>
      <c r="RQJ7" s="24"/>
      <c r="RQK7" s="24"/>
      <c r="RQL7" s="24"/>
      <c r="RQM7" s="24"/>
      <c r="RQN7" s="24"/>
      <c r="RQO7" s="24"/>
      <c r="RQP7" s="24"/>
      <c r="RQQ7" s="24"/>
      <c r="RQR7" s="24"/>
      <c r="RQS7" s="24"/>
      <c r="RQT7" s="24"/>
      <c r="RQU7" s="24"/>
      <c r="RQV7" s="24"/>
      <c r="RQW7" s="24"/>
      <c r="RQX7" s="24"/>
      <c r="RQY7" s="24"/>
      <c r="RQZ7" s="24"/>
      <c r="RRA7" s="24"/>
      <c r="RRB7" s="24"/>
      <c r="RRC7" s="24"/>
      <c r="RRD7" s="24"/>
      <c r="RRE7" s="24"/>
      <c r="RRF7" s="24"/>
      <c r="RRG7" s="24"/>
      <c r="RRH7" s="24"/>
      <c r="RRI7" s="24"/>
      <c r="RRJ7" s="24"/>
      <c r="RRK7" s="24"/>
      <c r="RRL7" s="24"/>
      <c r="RRM7" s="24"/>
      <c r="RRN7" s="24"/>
      <c r="RRO7" s="24"/>
      <c r="RRP7" s="24"/>
      <c r="RRQ7" s="24"/>
      <c r="RRR7" s="24"/>
      <c r="RRS7" s="24"/>
      <c r="RRT7" s="24"/>
      <c r="RRU7" s="24"/>
      <c r="RRV7" s="24"/>
      <c r="RRW7" s="24"/>
      <c r="RRX7" s="24"/>
      <c r="RRY7" s="24"/>
      <c r="RRZ7" s="24"/>
      <c r="RSA7" s="24"/>
      <c r="RSB7" s="24"/>
      <c r="RSC7" s="24"/>
      <c r="RSD7" s="24"/>
      <c r="RSE7" s="24"/>
      <c r="RSF7" s="24"/>
      <c r="RSG7" s="24"/>
      <c r="RSH7" s="24"/>
      <c r="RSI7" s="24"/>
      <c r="RSJ7" s="24"/>
      <c r="RSK7" s="24"/>
      <c r="RSL7" s="24"/>
      <c r="RSM7" s="24"/>
      <c r="RSN7" s="24"/>
      <c r="RSO7" s="24"/>
      <c r="RSP7" s="24"/>
      <c r="RSQ7" s="24"/>
      <c r="RSR7" s="24"/>
      <c r="RSS7" s="24"/>
      <c r="RST7" s="24"/>
      <c r="RSU7" s="24"/>
      <c r="RSV7" s="24"/>
      <c r="RSW7" s="24"/>
      <c r="RSX7" s="24"/>
      <c r="RSY7" s="24"/>
      <c r="RSZ7" s="24"/>
      <c r="RTA7" s="24"/>
      <c r="RTB7" s="24"/>
      <c r="RTC7" s="24"/>
      <c r="RTD7" s="24"/>
      <c r="RTE7" s="24"/>
      <c r="RTF7" s="24"/>
      <c r="RTG7" s="24"/>
      <c r="RTH7" s="24"/>
      <c r="RTI7" s="24"/>
      <c r="RTJ7" s="24"/>
      <c r="RTK7" s="24"/>
      <c r="RTL7" s="24"/>
      <c r="RTM7" s="24"/>
      <c r="RTN7" s="24"/>
      <c r="RTO7" s="24"/>
      <c r="RTP7" s="24"/>
      <c r="RTQ7" s="24"/>
      <c r="RTR7" s="24"/>
      <c r="RTS7" s="24"/>
      <c r="RTT7" s="24"/>
      <c r="RTU7" s="24"/>
      <c r="RTV7" s="24"/>
      <c r="RTW7" s="24"/>
      <c r="RTX7" s="24"/>
      <c r="RTY7" s="24"/>
      <c r="RTZ7" s="24"/>
      <c r="RUA7" s="24"/>
      <c r="RUB7" s="24"/>
      <c r="RUC7" s="24"/>
      <c r="RUD7" s="24"/>
      <c r="RUE7" s="24"/>
      <c r="RUF7" s="24"/>
      <c r="RUG7" s="24"/>
      <c r="RUH7" s="24"/>
      <c r="RUI7" s="24"/>
      <c r="RUJ7" s="24"/>
      <c r="RUK7" s="24"/>
      <c r="RUL7" s="24"/>
      <c r="RUM7" s="24"/>
      <c r="RUN7" s="24"/>
      <c r="RUO7" s="24"/>
      <c r="RUP7" s="24"/>
      <c r="RUQ7" s="24"/>
      <c r="RUR7" s="24"/>
      <c r="RUS7" s="24"/>
      <c r="RUT7" s="24"/>
      <c r="RUU7" s="24"/>
      <c r="RUV7" s="24"/>
      <c r="RUW7" s="24"/>
      <c r="RUX7" s="24"/>
      <c r="RUY7" s="24"/>
      <c r="RUZ7" s="24"/>
      <c r="RVA7" s="24"/>
      <c r="RVB7" s="24"/>
      <c r="RVC7" s="24"/>
      <c r="RVD7" s="24"/>
      <c r="RVE7" s="24"/>
      <c r="RVF7" s="24"/>
      <c r="RVG7" s="24"/>
      <c r="RVH7" s="24"/>
      <c r="RVI7" s="24"/>
      <c r="RVJ7" s="24"/>
      <c r="RVK7" s="24"/>
      <c r="RVL7" s="24"/>
      <c r="RVM7" s="24"/>
      <c r="RVN7" s="24"/>
      <c r="RVO7" s="24"/>
      <c r="RVP7" s="24"/>
      <c r="RVQ7" s="24"/>
      <c r="RVR7" s="24"/>
      <c r="RVS7" s="24"/>
      <c r="RVT7" s="24"/>
      <c r="RVU7" s="24"/>
      <c r="RVV7" s="24"/>
      <c r="RVW7" s="24"/>
      <c r="RVX7" s="24"/>
      <c r="RVY7" s="24"/>
      <c r="RVZ7" s="24"/>
      <c r="RWA7" s="24"/>
      <c r="RWB7" s="24"/>
      <c r="RWC7" s="24"/>
      <c r="RWD7" s="24"/>
      <c r="RWE7" s="24"/>
      <c r="RWF7" s="24"/>
      <c r="RWG7" s="24"/>
      <c r="RWH7" s="24"/>
      <c r="RWI7" s="24"/>
      <c r="RWJ7" s="24"/>
      <c r="RWK7" s="24"/>
      <c r="RWL7" s="24"/>
      <c r="RWM7" s="24"/>
      <c r="RWN7" s="24"/>
      <c r="RWO7" s="24"/>
      <c r="RWP7" s="24"/>
      <c r="RWQ7" s="24"/>
      <c r="RWR7" s="24"/>
      <c r="RWS7" s="24"/>
      <c r="RWT7" s="24"/>
      <c r="RWU7" s="24"/>
      <c r="RWV7" s="24"/>
      <c r="RWW7" s="24"/>
      <c r="RWX7" s="24"/>
      <c r="RWY7" s="24"/>
      <c r="RWZ7" s="24"/>
      <c r="RXA7" s="24"/>
      <c r="RXB7" s="24"/>
      <c r="RXC7" s="24"/>
      <c r="RXD7" s="24"/>
      <c r="RXE7" s="24"/>
      <c r="RXF7" s="24"/>
      <c r="RXG7" s="24"/>
      <c r="RXH7" s="24"/>
      <c r="RXI7" s="24"/>
      <c r="RXJ7" s="24"/>
      <c r="RXK7" s="24"/>
      <c r="RXL7" s="24"/>
      <c r="RXM7" s="24"/>
      <c r="RXN7" s="24"/>
      <c r="RXO7" s="24"/>
      <c r="RXP7" s="24"/>
      <c r="RXQ7" s="24"/>
      <c r="RXR7" s="24"/>
      <c r="RXS7" s="24"/>
      <c r="RXT7" s="24"/>
      <c r="RXU7" s="24"/>
      <c r="RXV7" s="24"/>
      <c r="RXW7" s="24"/>
      <c r="RXX7" s="24"/>
      <c r="RXY7" s="24"/>
      <c r="RXZ7" s="24"/>
      <c r="RYA7" s="24"/>
      <c r="RYB7" s="24"/>
      <c r="RYC7" s="24"/>
      <c r="RYD7" s="24"/>
      <c r="RYE7" s="24"/>
      <c r="RYF7" s="24"/>
      <c r="RYG7" s="24"/>
      <c r="RYH7" s="24"/>
      <c r="RYI7" s="24"/>
      <c r="RYJ7" s="24"/>
      <c r="RYK7" s="24"/>
      <c r="RYL7" s="24"/>
      <c r="RYM7" s="24"/>
      <c r="RYN7" s="24"/>
      <c r="RYO7" s="24"/>
      <c r="RYP7" s="24"/>
      <c r="RYQ7" s="24"/>
      <c r="RYR7" s="24"/>
      <c r="RYS7" s="24"/>
      <c r="RYT7" s="24"/>
      <c r="RYU7" s="24"/>
      <c r="RYV7" s="24"/>
      <c r="RYW7" s="24"/>
      <c r="RYX7" s="24"/>
      <c r="RYY7" s="24"/>
      <c r="RYZ7" s="24"/>
      <c r="RZA7" s="24"/>
      <c r="RZB7" s="24"/>
      <c r="RZC7" s="24"/>
      <c r="RZD7" s="24"/>
      <c r="RZE7" s="24"/>
      <c r="RZF7" s="24"/>
      <c r="RZG7" s="24"/>
      <c r="RZH7" s="24"/>
      <c r="RZI7" s="24"/>
      <c r="RZJ7" s="24"/>
      <c r="RZK7" s="24"/>
      <c r="RZL7" s="24"/>
      <c r="RZM7" s="24"/>
      <c r="RZN7" s="24"/>
      <c r="RZO7" s="24"/>
      <c r="RZP7" s="24"/>
      <c r="RZQ7" s="24"/>
      <c r="RZR7" s="24"/>
      <c r="RZS7" s="24"/>
      <c r="RZT7" s="24"/>
      <c r="RZU7" s="24"/>
      <c r="RZV7" s="24"/>
      <c r="RZW7" s="24"/>
      <c r="RZX7" s="24"/>
      <c r="RZY7" s="24"/>
      <c r="RZZ7" s="24"/>
      <c r="SAA7" s="24"/>
      <c r="SAB7" s="24"/>
      <c r="SAC7" s="24"/>
      <c r="SAD7" s="24"/>
      <c r="SAE7" s="24"/>
      <c r="SAF7" s="24"/>
      <c r="SAG7" s="24"/>
      <c r="SAH7" s="24"/>
      <c r="SAI7" s="24"/>
      <c r="SAJ7" s="24"/>
      <c r="SAK7" s="24"/>
      <c r="SAL7" s="24"/>
      <c r="SAM7" s="24"/>
      <c r="SAN7" s="24"/>
      <c r="SAO7" s="24"/>
      <c r="SAP7" s="24"/>
      <c r="SAQ7" s="24"/>
      <c r="SAR7" s="24"/>
      <c r="SAS7" s="24"/>
      <c r="SAT7" s="24"/>
      <c r="SAU7" s="24"/>
      <c r="SAV7" s="24"/>
      <c r="SAW7" s="24"/>
      <c r="SAX7" s="24"/>
      <c r="SAY7" s="24"/>
      <c r="SAZ7" s="24"/>
      <c r="SBA7" s="24"/>
      <c r="SBB7" s="24"/>
      <c r="SBC7" s="24"/>
      <c r="SBD7" s="24"/>
      <c r="SBE7" s="24"/>
      <c r="SBF7" s="24"/>
      <c r="SBG7" s="24"/>
      <c r="SBH7" s="24"/>
      <c r="SBI7" s="24"/>
      <c r="SBJ7" s="24"/>
      <c r="SBK7" s="24"/>
      <c r="SBL7" s="24"/>
      <c r="SBM7" s="24"/>
      <c r="SBN7" s="24"/>
      <c r="SBO7" s="24"/>
      <c r="SBP7" s="24"/>
      <c r="SBQ7" s="24"/>
      <c r="SBR7" s="24"/>
      <c r="SBS7" s="24"/>
      <c r="SBT7" s="24"/>
      <c r="SBU7" s="24"/>
      <c r="SBV7" s="24"/>
      <c r="SBW7" s="24"/>
      <c r="SBX7" s="24"/>
      <c r="SBY7" s="24"/>
      <c r="SBZ7" s="24"/>
      <c r="SCA7" s="24"/>
      <c r="SCB7" s="24"/>
      <c r="SCC7" s="24"/>
      <c r="SCD7" s="24"/>
      <c r="SCE7" s="24"/>
      <c r="SCF7" s="24"/>
      <c r="SCG7" s="24"/>
      <c r="SCH7" s="24"/>
      <c r="SCI7" s="24"/>
      <c r="SCJ7" s="24"/>
      <c r="SCK7" s="24"/>
      <c r="SCL7" s="24"/>
      <c r="SCM7" s="24"/>
      <c r="SCN7" s="24"/>
      <c r="SCO7" s="24"/>
      <c r="SCP7" s="24"/>
      <c r="SCQ7" s="24"/>
      <c r="SCR7" s="24"/>
      <c r="SCS7" s="24"/>
      <c r="SCT7" s="24"/>
      <c r="SCU7" s="24"/>
      <c r="SCV7" s="24"/>
      <c r="SCW7" s="24"/>
      <c r="SCX7" s="24"/>
      <c r="SCY7" s="24"/>
      <c r="SCZ7" s="24"/>
      <c r="SDA7" s="24"/>
      <c r="SDB7" s="24"/>
      <c r="SDC7" s="24"/>
      <c r="SDD7" s="24"/>
      <c r="SDE7" s="24"/>
      <c r="SDF7" s="24"/>
      <c r="SDG7" s="24"/>
      <c r="SDH7" s="24"/>
      <c r="SDI7" s="24"/>
      <c r="SDJ7" s="24"/>
      <c r="SDK7" s="24"/>
      <c r="SDL7" s="24"/>
      <c r="SDM7" s="24"/>
      <c r="SDN7" s="24"/>
      <c r="SDO7" s="24"/>
      <c r="SDP7" s="24"/>
      <c r="SDQ7" s="24"/>
      <c r="SDR7" s="24"/>
      <c r="SDS7" s="24"/>
      <c r="SDT7" s="24"/>
      <c r="SDU7" s="24"/>
      <c r="SDV7" s="24"/>
      <c r="SDW7" s="24"/>
      <c r="SDX7" s="24"/>
      <c r="SDY7" s="24"/>
      <c r="SDZ7" s="24"/>
      <c r="SEA7" s="24"/>
      <c r="SEB7" s="24"/>
      <c r="SEC7" s="24"/>
      <c r="SED7" s="24"/>
      <c r="SEE7" s="24"/>
      <c r="SEF7" s="24"/>
      <c r="SEG7" s="24"/>
      <c r="SEH7" s="24"/>
      <c r="SEI7" s="24"/>
      <c r="SEJ7" s="24"/>
      <c r="SEK7" s="24"/>
      <c r="SEL7" s="24"/>
      <c r="SEM7" s="24"/>
      <c r="SEN7" s="24"/>
      <c r="SEO7" s="24"/>
      <c r="SEP7" s="24"/>
      <c r="SEQ7" s="24"/>
      <c r="SER7" s="24"/>
      <c r="SES7" s="24"/>
      <c r="SET7" s="24"/>
      <c r="SEU7" s="24"/>
      <c r="SEV7" s="24"/>
      <c r="SEW7" s="24"/>
      <c r="SEX7" s="24"/>
      <c r="SEY7" s="24"/>
      <c r="SEZ7" s="24"/>
      <c r="SFA7" s="24"/>
      <c r="SFB7" s="24"/>
      <c r="SFC7" s="24"/>
      <c r="SFD7" s="24"/>
      <c r="SFE7" s="24"/>
      <c r="SFF7" s="24"/>
      <c r="SFG7" s="24"/>
      <c r="SFH7" s="24"/>
      <c r="SFI7" s="24"/>
      <c r="SFJ7" s="24"/>
      <c r="SFK7" s="24"/>
      <c r="SFL7" s="24"/>
      <c r="SFM7" s="24"/>
      <c r="SFN7" s="24"/>
      <c r="SFO7" s="24"/>
      <c r="SFP7" s="24"/>
      <c r="SFQ7" s="24"/>
      <c r="SFR7" s="24"/>
      <c r="SFS7" s="24"/>
      <c r="SFT7" s="24"/>
      <c r="SFU7" s="24"/>
      <c r="SFV7" s="24"/>
      <c r="SFW7" s="24"/>
      <c r="SFX7" s="24"/>
      <c r="SFY7" s="24"/>
      <c r="SFZ7" s="24"/>
      <c r="SGA7" s="24"/>
      <c r="SGB7" s="24"/>
      <c r="SGC7" s="24"/>
      <c r="SGD7" s="24"/>
      <c r="SGE7" s="24"/>
      <c r="SGF7" s="24"/>
      <c r="SGG7" s="24"/>
      <c r="SGH7" s="24"/>
      <c r="SGI7" s="24"/>
      <c r="SGJ7" s="24"/>
      <c r="SGK7" s="24"/>
      <c r="SGL7" s="24"/>
      <c r="SGM7" s="24"/>
      <c r="SGN7" s="24"/>
      <c r="SGO7" s="24"/>
      <c r="SGP7" s="24"/>
      <c r="SGQ7" s="24"/>
      <c r="SGR7" s="24"/>
      <c r="SGS7" s="24"/>
      <c r="SGT7" s="24"/>
      <c r="SGU7" s="24"/>
      <c r="SGV7" s="24"/>
      <c r="SGW7" s="24"/>
      <c r="SGX7" s="24"/>
      <c r="SGY7" s="24"/>
      <c r="SGZ7" s="24"/>
      <c r="SHA7" s="24"/>
      <c r="SHB7" s="24"/>
      <c r="SHC7" s="24"/>
      <c r="SHD7" s="24"/>
      <c r="SHE7" s="24"/>
      <c r="SHF7" s="24"/>
      <c r="SHG7" s="24"/>
      <c r="SHH7" s="24"/>
      <c r="SHI7" s="24"/>
      <c r="SHJ7" s="24"/>
      <c r="SHK7" s="24"/>
      <c r="SHL7" s="24"/>
      <c r="SHM7" s="24"/>
      <c r="SHN7" s="24"/>
      <c r="SHO7" s="24"/>
      <c r="SHP7" s="24"/>
      <c r="SHQ7" s="24"/>
      <c r="SHR7" s="24"/>
      <c r="SHS7" s="24"/>
      <c r="SHT7" s="24"/>
      <c r="SHU7" s="24"/>
      <c r="SHV7" s="24"/>
      <c r="SHW7" s="24"/>
      <c r="SHX7" s="24"/>
      <c r="SHY7" s="24"/>
      <c r="SHZ7" s="24"/>
      <c r="SIA7" s="24"/>
      <c r="SIB7" s="24"/>
      <c r="SIC7" s="24"/>
      <c r="SID7" s="24"/>
      <c r="SIE7" s="24"/>
      <c r="SIF7" s="24"/>
      <c r="SIG7" s="24"/>
      <c r="SIH7" s="24"/>
      <c r="SII7" s="24"/>
      <c r="SIJ7" s="24"/>
      <c r="SIK7" s="24"/>
      <c r="SIL7" s="24"/>
      <c r="SIM7" s="24"/>
      <c r="SIN7" s="24"/>
      <c r="SIO7" s="24"/>
      <c r="SIP7" s="24"/>
      <c r="SIQ7" s="24"/>
      <c r="SIR7" s="24"/>
      <c r="SIS7" s="24"/>
      <c r="SIT7" s="24"/>
      <c r="SIU7" s="24"/>
      <c r="SIV7" s="24"/>
      <c r="SIW7" s="24"/>
      <c r="SIX7" s="24"/>
      <c r="SIY7" s="24"/>
      <c r="SIZ7" s="24"/>
      <c r="SJA7" s="24"/>
      <c r="SJB7" s="24"/>
      <c r="SJC7" s="24"/>
      <c r="SJD7" s="24"/>
      <c r="SJE7" s="24"/>
      <c r="SJF7" s="24"/>
      <c r="SJG7" s="24"/>
      <c r="SJH7" s="24"/>
      <c r="SJI7" s="24"/>
      <c r="SJJ7" s="24"/>
      <c r="SJK7" s="24"/>
      <c r="SJL7" s="24"/>
      <c r="SJM7" s="24"/>
      <c r="SJN7" s="24"/>
      <c r="SJO7" s="24"/>
      <c r="SJP7" s="24"/>
      <c r="SJQ7" s="24"/>
      <c r="SJR7" s="24"/>
      <c r="SJS7" s="24"/>
      <c r="SJT7" s="24"/>
      <c r="SJU7" s="24"/>
      <c r="SJV7" s="24"/>
      <c r="SJW7" s="24"/>
      <c r="SJX7" s="24"/>
      <c r="SJY7" s="24"/>
      <c r="SJZ7" s="24"/>
      <c r="SKA7" s="24"/>
      <c r="SKB7" s="24"/>
      <c r="SKC7" s="24"/>
      <c r="SKD7" s="24"/>
      <c r="SKE7" s="24"/>
      <c r="SKF7" s="24"/>
      <c r="SKG7" s="24"/>
      <c r="SKH7" s="24"/>
      <c r="SKI7" s="24"/>
      <c r="SKJ7" s="24"/>
      <c r="SKK7" s="24"/>
      <c r="SKL7" s="24"/>
      <c r="SKM7" s="24"/>
      <c r="SKN7" s="24"/>
      <c r="SKO7" s="24"/>
      <c r="SKP7" s="24"/>
      <c r="SKQ7" s="24"/>
      <c r="SKR7" s="24"/>
      <c r="SKS7" s="24"/>
      <c r="SKT7" s="24"/>
      <c r="SKU7" s="24"/>
      <c r="SKV7" s="24"/>
      <c r="SKW7" s="24"/>
      <c r="SKX7" s="24"/>
      <c r="SKY7" s="24"/>
      <c r="SKZ7" s="24"/>
      <c r="SLA7" s="24"/>
      <c r="SLB7" s="24"/>
      <c r="SLC7" s="24"/>
      <c r="SLD7" s="24"/>
      <c r="SLE7" s="24"/>
      <c r="SLF7" s="24"/>
      <c r="SLG7" s="24"/>
      <c r="SLH7" s="24"/>
      <c r="SLI7" s="24"/>
      <c r="SLJ7" s="24"/>
      <c r="SLK7" s="24"/>
      <c r="SLL7" s="24"/>
      <c r="SLM7" s="24"/>
      <c r="SLN7" s="24"/>
      <c r="SLO7" s="24"/>
      <c r="SLP7" s="24"/>
      <c r="SLQ7" s="24"/>
      <c r="SLR7" s="24"/>
      <c r="SLS7" s="24"/>
      <c r="SLT7" s="24"/>
      <c r="SLU7" s="24"/>
      <c r="SLV7" s="24"/>
      <c r="SLW7" s="24"/>
      <c r="SLX7" s="24"/>
      <c r="SLY7" s="24"/>
      <c r="SLZ7" s="24"/>
      <c r="SMA7" s="24"/>
      <c r="SMB7" s="24"/>
      <c r="SMC7" s="24"/>
      <c r="SMD7" s="24"/>
      <c r="SME7" s="24"/>
      <c r="SMF7" s="24"/>
      <c r="SMG7" s="24"/>
      <c r="SMH7" s="24"/>
      <c r="SMI7" s="24"/>
      <c r="SMJ7" s="24"/>
      <c r="SMK7" s="24"/>
      <c r="SML7" s="24"/>
      <c r="SMM7" s="24"/>
      <c r="SMN7" s="24"/>
      <c r="SMO7" s="24"/>
      <c r="SMP7" s="24"/>
      <c r="SMQ7" s="24"/>
      <c r="SMR7" s="24"/>
      <c r="SMS7" s="24"/>
      <c r="SMT7" s="24"/>
      <c r="SMU7" s="24"/>
      <c r="SMV7" s="24"/>
      <c r="SMW7" s="24"/>
      <c r="SMX7" s="24"/>
      <c r="SMY7" s="24"/>
      <c r="SMZ7" s="24"/>
      <c r="SNA7" s="24"/>
      <c r="SNB7" s="24"/>
      <c r="SNC7" s="24"/>
      <c r="SND7" s="24"/>
      <c r="SNE7" s="24"/>
      <c r="SNF7" s="24"/>
      <c r="SNG7" s="24"/>
      <c r="SNH7" s="24"/>
      <c r="SNI7" s="24"/>
      <c r="SNJ7" s="24"/>
      <c r="SNK7" s="24"/>
      <c r="SNL7" s="24"/>
      <c r="SNM7" s="24"/>
      <c r="SNN7" s="24"/>
      <c r="SNO7" s="24"/>
      <c r="SNP7" s="24"/>
      <c r="SNQ7" s="24"/>
      <c r="SNR7" s="24"/>
      <c r="SNS7" s="24"/>
      <c r="SNT7" s="24"/>
      <c r="SNU7" s="24"/>
      <c r="SNV7" s="24"/>
      <c r="SNW7" s="24"/>
      <c r="SNX7" s="24"/>
      <c r="SNY7" s="24"/>
      <c r="SNZ7" s="24"/>
      <c r="SOA7" s="24"/>
      <c r="SOB7" s="24"/>
      <c r="SOC7" s="24"/>
      <c r="SOD7" s="24"/>
      <c r="SOE7" s="24"/>
      <c r="SOF7" s="24"/>
      <c r="SOG7" s="24"/>
      <c r="SOH7" s="24"/>
      <c r="SOI7" s="24"/>
      <c r="SOJ7" s="24"/>
      <c r="SOK7" s="24"/>
      <c r="SOL7" s="24"/>
      <c r="SOM7" s="24"/>
      <c r="SON7" s="24"/>
      <c r="SOO7" s="24"/>
      <c r="SOP7" s="24"/>
      <c r="SOQ7" s="24"/>
      <c r="SOR7" s="24"/>
      <c r="SOS7" s="24"/>
      <c r="SOT7" s="24"/>
      <c r="SOU7" s="24"/>
      <c r="SOV7" s="24"/>
      <c r="SOW7" s="24"/>
      <c r="SOX7" s="24"/>
      <c r="SOY7" s="24"/>
      <c r="SOZ7" s="24"/>
      <c r="SPA7" s="24"/>
      <c r="SPB7" s="24"/>
      <c r="SPC7" s="24"/>
      <c r="SPD7" s="24"/>
      <c r="SPE7" s="24"/>
      <c r="SPF7" s="24"/>
      <c r="SPG7" s="24"/>
      <c r="SPH7" s="24"/>
      <c r="SPI7" s="24"/>
      <c r="SPJ7" s="24"/>
      <c r="SPK7" s="24"/>
      <c r="SPL7" s="24"/>
      <c r="SPM7" s="24"/>
      <c r="SPN7" s="24"/>
      <c r="SPO7" s="24"/>
      <c r="SPP7" s="24"/>
      <c r="SPQ7" s="24"/>
      <c r="SPR7" s="24"/>
      <c r="SPS7" s="24"/>
      <c r="SPT7" s="24"/>
      <c r="SPU7" s="24"/>
      <c r="SPV7" s="24"/>
      <c r="SPW7" s="24"/>
      <c r="SPX7" s="24"/>
      <c r="SPY7" s="24"/>
      <c r="SPZ7" s="24"/>
      <c r="SQA7" s="24"/>
      <c r="SQB7" s="24"/>
      <c r="SQC7" s="24"/>
      <c r="SQD7" s="24"/>
      <c r="SQE7" s="24"/>
      <c r="SQF7" s="24"/>
      <c r="SQG7" s="24"/>
      <c r="SQH7" s="24"/>
      <c r="SQI7" s="24"/>
      <c r="SQJ7" s="24"/>
      <c r="SQK7" s="24"/>
      <c r="SQL7" s="24"/>
      <c r="SQM7" s="24"/>
      <c r="SQN7" s="24"/>
      <c r="SQO7" s="24"/>
      <c r="SQP7" s="24"/>
      <c r="SQQ7" s="24"/>
      <c r="SQR7" s="24"/>
      <c r="SQS7" s="24"/>
      <c r="SQT7" s="24"/>
      <c r="SQU7" s="24"/>
      <c r="SQV7" s="24"/>
      <c r="SQW7" s="24"/>
      <c r="SQX7" s="24"/>
      <c r="SQY7" s="24"/>
      <c r="SQZ7" s="24"/>
      <c r="SRA7" s="24"/>
      <c r="SRB7" s="24"/>
      <c r="SRC7" s="24"/>
      <c r="SRD7" s="24"/>
      <c r="SRE7" s="24"/>
      <c r="SRF7" s="24"/>
      <c r="SRG7" s="24"/>
      <c r="SRH7" s="24"/>
      <c r="SRI7" s="24"/>
      <c r="SRJ7" s="24"/>
      <c r="SRK7" s="24"/>
      <c r="SRL7" s="24"/>
      <c r="SRM7" s="24"/>
      <c r="SRN7" s="24"/>
      <c r="SRO7" s="24"/>
      <c r="SRP7" s="24"/>
      <c r="SRQ7" s="24"/>
      <c r="SRR7" s="24"/>
      <c r="SRS7" s="24"/>
      <c r="SRT7" s="24"/>
      <c r="SRU7" s="24"/>
      <c r="SRV7" s="24"/>
      <c r="SRW7" s="24"/>
      <c r="SRX7" s="24"/>
      <c r="SRY7" s="24"/>
      <c r="SRZ7" s="24"/>
      <c r="SSA7" s="24"/>
      <c r="SSB7" s="24"/>
      <c r="SSC7" s="24"/>
      <c r="SSD7" s="24"/>
      <c r="SSE7" s="24"/>
      <c r="SSF7" s="24"/>
      <c r="SSG7" s="24"/>
      <c r="SSH7" s="24"/>
      <c r="SSI7" s="24"/>
      <c r="SSJ7" s="24"/>
      <c r="SSK7" s="24"/>
      <c r="SSL7" s="24"/>
      <c r="SSM7" s="24"/>
      <c r="SSN7" s="24"/>
      <c r="SSO7" s="24"/>
      <c r="SSP7" s="24"/>
      <c r="SSQ7" s="24"/>
      <c r="SSR7" s="24"/>
      <c r="SSS7" s="24"/>
      <c r="SST7" s="24"/>
      <c r="SSU7" s="24"/>
      <c r="SSV7" s="24"/>
      <c r="SSW7" s="24"/>
      <c r="SSX7" s="24"/>
      <c r="SSY7" s="24"/>
      <c r="SSZ7" s="24"/>
      <c r="STA7" s="24"/>
      <c r="STB7" s="24"/>
      <c r="STC7" s="24"/>
      <c r="STD7" s="24"/>
      <c r="STE7" s="24"/>
      <c r="STF7" s="24"/>
      <c r="STG7" s="24"/>
      <c r="STH7" s="24"/>
      <c r="STI7" s="24"/>
      <c r="STJ7" s="24"/>
      <c r="STK7" s="24"/>
      <c r="STL7" s="24"/>
      <c r="STM7" s="24"/>
      <c r="STN7" s="24"/>
      <c r="STO7" s="24"/>
      <c r="STP7" s="24"/>
      <c r="STQ7" s="24"/>
      <c r="STR7" s="24"/>
      <c r="STS7" s="24"/>
      <c r="STT7" s="24"/>
      <c r="STU7" s="24"/>
      <c r="STV7" s="24"/>
      <c r="STW7" s="24"/>
      <c r="STX7" s="24"/>
      <c r="STY7" s="24"/>
      <c r="STZ7" s="24"/>
      <c r="SUA7" s="24"/>
      <c r="SUB7" s="24"/>
      <c r="SUC7" s="24"/>
      <c r="SUD7" s="24"/>
      <c r="SUE7" s="24"/>
      <c r="SUF7" s="24"/>
      <c r="SUG7" s="24"/>
      <c r="SUH7" s="24"/>
      <c r="SUI7" s="24"/>
      <c r="SUJ7" s="24"/>
      <c r="SUK7" s="24"/>
      <c r="SUL7" s="24"/>
      <c r="SUM7" s="24"/>
      <c r="SUN7" s="24"/>
      <c r="SUO7" s="24"/>
      <c r="SUP7" s="24"/>
      <c r="SUQ7" s="24"/>
      <c r="SUR7" s="24"/>
      <c r="SUS7" s="24"/>
      <c r="SUT7" s="24"/>
      <c r="SUU7" s="24"/>
      <c r="SUV7" s="24"/>
      <c r="SUW7" s="24"/>
      <c r="SUX7" s="24"/>
      <c r="SUY7" s="24"/>
      <c r="SUZ7" s="24"/>
      <c r="SVA7" s="24"/>
      <c r="SVB7" s="24"/>
      <c r="SVC7" s="24"/>
      <c r="SVD7" s="24"/>
      <c r="SVE7" s="24"/>
      <c r="SVF7" s="24"/>
      <c r="SVG7" s="24"/>
      <c r="SVH7" s="24"/>
      <c r="SVI7" s="24"/>
      <c r="SVJ7" s="24"/>
      <c r="SVK7" s="24"/>
      <c r="SVL7" s="24"/>
      <c r="SVM7" s="24"/>
      <c r="SVN7" s="24"/>
      <c r="SVO7" s="24"/>
      <c r="SVP7" s="24"/>
      <c r="SVQ7" s="24"/>
      <c r="SVR7" s="24"/>
      <c r="SVS7" s="24"/>
      <c r="SVT7" s="24"/>
      <c r="SVU7" s="24"/>
      <c r="SVV7" s="24"/>
      <c r="SVW7" s="24"/>
      <c r="SVX7" s="24"/>
      <c r="SVY7" s="24"/>
      <c r="SVZ7" s="24"/>
      <c r="SWA7" s="24"/>
      <c r="SWB7" s="24"/>
      <c r="SWC7" s="24"/>
      <c r="SWD7" s="24"/>
      <c r="SWE7" s="24"/>
      <c r="SWF7" s="24"/>
      <c r="SWG7" s="24"/>
      <c r="SWH7" s="24"/>
      <c r="SWI7" s="24"/>
      <c r="SWJ7" s="24"/>
      <c r="SWK7" s="24"/>
      <c r="SWL7" s="24"/>
      <c r="SWM7" s="24"/>
      <c r="SWN7" s="24"/>
      <c r="SWO7" s="24"/>
      <c r="SWP7" s="24"/>
      <c r="SWQ7" s="24"/>
      <c r="SWR7" s="24"/>
      <c r="SWS7" s="24"/>
      <c r="SWT7" s="24"/>
      <c r="SWU7" s="24"/>
      <c r="SWV7" s="24"/>
      <c r="SWW7" s="24"/>
      <c r="SWX7" s="24"/>
      <c r="SWY7" s="24"/>
      <c r="SWZ7" s="24"/>
      <c r="SXA7" s="24"/>
      <c r="SXB7" s="24"/>
      <c r="SXC7" s="24"/>
      <c r="SXD7" s="24"/>
      <c r="SXE7" s="24"/>
      <c r="SXF7" s="24"/>
      <c r="SXG7" s="24"/>
      <c r="SXH7" s="24"/>
      <c r="SXI7" s="24"/>
      <c r="SXJ7" s="24"/>
      <c r="SXK7" s="24"/>
      <c r="SXL7" s="24"/>
      <c r="SXM7" s="24"/>
      <c r="SXN7" s="24"/>
      <c r="SXO7" s="24"/>
      <c r="SXP7" s="24"/>
      <c r="SXQ7" s="24"/>
      <c r="SXR7" s="24"/>
      <c r="SXS7" s="24"/>
      <c r="SXT7" s="24"/>
      <c r="SXU7" s="24"/>
      <c r="SXV7" s="24"/>
      <c r="SXW7" s="24"/>
      <c r="SXX7" s="24"/>
      <c r="SXY7" s="24"/>
      <c r="SXZ7" s="24"/>
      <c r="SYA7" s="24"/>
      <c r="SYB7" s="24"/>
      <c r="SYC7" s="24"/>
      <c r="SYD7" s="24"/>
      <c r="SYE7" s="24"/>
      <c r="SYF7" s="24"/>
      <c r="SYG7" s="24"/>
      <c r="SYH7" s="24"/>
      <c r="SYI7" s="24"/>
      <c r="SYJ7" s="24"/>
      <c r="SYK7" s="24"/>
      <c r="SYL7" s="24"/>
      <c r="SYM7" s="24"/>
      <c r="SYN7" s="24"/>
      <c r="SYO7" s="24"/>
      <c r="SYP7" s="24"/>
      <c r="SYQ7" s="24"/>
      <c r="SYR7" s="24"/>
      <c r="SYS7" s="24"/>
      <c r="SYT7" s="24"/>
      <c r="SYU7" s="24"/>
      <c r="SYV7" s="24"/>
      <c r="SYW7" s="24"/>
      <c r="SYX7" s="24"/>
      <c r="SYY7" s="24"/>
      <c r="SYZ7" s="24"/>
      <c r="SZA7" s="24"/>
      <c r="SZB7" s="24"/>
      <c r="SZC7" s="24"/>
      <c r="SZD7" s="24"/>
      <c r="SZE7" s="24"/>
      <c r="SZF7" s="24"/>
      <c r="SZG7" s="24"/>
      <c r="SZH7" s="24"/>
      <c r="SZI7" s="24"/>
      <c r="SZJ7" s="24"/>
      <c r="SZK7" s="24"/>
      <c r="SZL7" s="24"/>
      <c r="SZM7" s="24"/>
      <c r="SZN7" s="24"/>
      <c r="SZO7" s="24"/>
      <c r="SZP7" s="24"/>
      <c r="SZQ7" s="24"/>
      <c r="SZR7" s="24"/>
      <c r="SZS7" s="24"/>
      <c r="SZT7" s="24"/>
      <c r="SZU7" s="24"/>
      <c r="SZV7" s="24"/>
      <c r="SZW7" s="24"/>
      <c r="SZX7" s="24"/>
      <c r="SZY7" s="24"/>
      <c r="SZZ7" s="24"/>
      <c r="TAA7" s="24"/>
      <c r="TAB7" s="24"/>
      <c r="TAC7" s="24"/>
      <c r="TAD7" s="24"/>
      <c r="TAE7" s="24"/>
      <c r="TAF7" s="24"/>
      <c r="TAG7" s="24"/>
      <c r="TAH7" s="24"/>
      <c r="TAI7" s="24"/>
      <c r="TAJ7" s="24"/>
      <c r="TAK7" s="24"/>
      <c r="TAL7" s="24"/>
      <c r="TAM7" s="24"/>
      <c r="TAN7" s="24"/>
      <c r="TAO7" s="24"/>
      <c r="TAP7" s="24"/>
      <c r="TAQ7" s="24"/>
      <c r="TAR7" s="24"/>
      <c r="TAS7" s="24"/>
      <c r="TAT7" s="24"/>
      <c r="TAU7" s="24"/>
      <c r="TAV7" s="24"/>
      <c r="TAW7" s="24"/>
      <c r="TAX7" s="24"/>
      <c r="TAY7" s="24"/>
      <c r="TAZ7" s="24"/>
      <c r="TBA7" s="24"/>
      <c r="TBB7" s="24"/>
      <c r="TBC7" s="24"/>
      <c r="TBD7" s="24"/>
      <c r="TBE7" s="24"/>
      <c r="TBF7" s="24"/>
      <c r="TBG7" s="24"/>
      <c r="TBH7" s="24"/>
      <c r="TBI7" s="24"/>
      <c r="TBJ7" s="24"/>
      <c r="TBK7" s="24"/>
      <c r="TBL7" s="24"/>
      <c r="TBM7" s="24"/>
      <c r="TBN7" s="24"/>
      <c r="TBO7" s="24"/>
      <c r="TBP7" s="24"/>
      <c r="TBQ7" s="24"/>
      <c r="TBR7" s="24"/>
      <c r="TBS7" s="24"/>
      <c r="TBT7" s="24"/>
      <c r="TBU7" s="24"/>
      <c r="TBV7" s="24"/>
      <c r="TBW7" s="24"/>
      <c r="TBX7" s="24"/>
      <c r="TBY7" s="24"/>
      <c r="TBZ7" s="24"/>
      <c r="TCA7" s="24"/>
      <c r="TCB7" s="24"/>
      <c r="TCC7" s="24"/>
      <c r="TCD7" s="24"/>
      <c r="TCE7" s="24"/>
      <c r="TCF7" s="24"/>
      <c r="TCG7" s="24"/>
      <c r="TCH7" s="24"/>
      <c r="TCI7" s="24"/>
      <c r="TCJ7" s="24"/>
      <c r="TCK7" s="24"/>
      <c r="TCL7" s="24"/>
      <c r="TCM7" s="24"/>
      <c r="TCN7" s="24"/>
      <c r="TCO7" s="24"/>
      <c r="TCP7" s="24"/>
      <c r="TCQ7" s="24"/>
      <c r="TCR7" s="24"/>
      <c r="TCS7" s="24"/>
      <c r="TCT7" s="24"/>
      <c r="TCU7" s="24"/>
      <c r="TCV7" s="24"/>
      <c r="TCW7" s="24"/>
      <c r="TCX7" s="24"/>
      <c r="TCY7" s="24"/>
      <c r="TCZ7" s="24"/>
      <c r="TDA7" s="24"/>
      <c r="TDB7" s="24"/>
      <c r="TDC7" s="24"/>
      <c r="TDD7" s="24"/>
      <c r="TDE7" s="24"/>
      <c r="TDF7" s="24"/>
      <c r="TDG7" s="24"/>
      <c r="TDH7" s="24"/>
      <c r="TDI7" s="24"/>
      <c r="TDJ7" s="24"/>
      <c r="TDK7" s="24"/>
      <c r="TDL7" s="24"/>
      <c r="TDM7" s="24"/>
      <c r="TDN7" s="24"/>
      <c r="TDO7" s="24"/>
      <c r="TDP7" s="24"/>
      <c r="TDQ7" s="24"/>
      <c r="TDR7" s="24"/>
      <c r="TDS7" s="24"/>
      <c r="TDT7" s="24"/>
      <c r="TDU7" s="24"/>
      <c r="TDV7" s="24"/>
      <c r="TDW7" s="24"/>
      <c r="TDX7" s="24"/>
      <c r="TDY7" s="24"/>
      <c r="TDZ7" s="24"/>
      <c r="TEA7" s="24"/>
      <c r="TEB7" s="24"/>
      <c r="TEC7" s="24"/>
      <c r="TED7" s="24"/>
      <c r="TEE7" s="24"/>
      <c r="TEF7" s="24"/>
      <c r="TEG7" s="24"/>
      <c r="TEH7" s="24"/>
      <c r="TEI7" s="24"/>
      <c r="TEJ7" s="24"/>
      <c r="TEK7" s="24"/>
      <c r="TEL7" s="24"/>
      <c r="TEM7" s="24"/>
      <c r="TEN7" s="24"/>
      <c r="TEO7" s="24"/>
      <c r="TEP7" s="24"/>
      <c r="TEQ7" s="24"/>
      <c r="TER7" s="24"/>
      <c r="TES7" s="24"/>
      <c r="TET7" s="24"/>
      <c r="TEU7" s="24"/>
      <c r="TEV7" s="24"/>
      <c r="TEW7" s="24"/>
      <c r="TEX7" s="24"/>
      <c r="TEY7" s="24"/>
      <c r="TEZ7" s="24"/>
      <c r="TFA7" s="24"/>
      <c r="TFB7" s="24"/>
      <c r="TFC7" s="24"/>
      <c r="TFD7" s="24"/>
      <c r="TFE7" s="24"/>
      <c r="TFF7" s="24"/>
      <c r="TFG7" s="24"/>
      <c r="TFH7" s="24"/>
      <c r="TFI7" s="24"/>
      <c r="TFJ7" s="24"/>
      <c r="TFK7" s="24"/>
      <c r="TFL7" s="24"/>
      <c r="TFM7" s="24"/>
      <c r="TFN7" s="24"/>
      <c r="TFO7" s="24"/>
      <c r="TFP7" s="24"/>
      <c r="TFQ7" s="24"/>
      <c r="TFR7" s="24"/>
      <c r="TFS7" s="24"/>
      <c r="TFT7" s="24"/>
      <c r="TFU7" s="24"/>
      <c r="TFV7" s="24"/>
      <c r="TFW7" s="24"/>
      <c r="TFX7" s="24"/>
      <c r="TFY7" s="24"/>
      <c r="TFZ7" s="24"/>
      <c r="TGA7" s="24"/>
      <c r="TGB7" s="24"/>
      <c r="TGC7" s="24"/>
      <c r="TGD7" s="24"/>
      <c r="TGE7" s="24"/>
      <c r="TGF7" s="24"/>
      <c r="TGG7" s="24"/>
      <c r="TGH7" s="24"/>
      <c r="TGI7" s="24"/>
      <c r="TGJ7" s="24"/>
      <c r="TGK7" s="24"/>
      <c r="TGL7" s="24"/>
      <c r="TGM7" s="24"/>
      <c r="TGN7" s="24"/>
      <c r="TGO7" s="24"/>
      <c r="TGP7" s="24"/>
      <c r="TGQ7" s="24"/>
      <c r="TGR7" s="24"/>
      <c r="TGS7" s="24"/>
      <c r="TGT7" s="24"/>
      <c r="TGU7" s="24"/>
      <c r="TGV7" s="24"/>
      <c r="TGW7" s="24"/>
      <c r="TGX7" s="24"/>
      <c r="TGY7" s="24"/>
      <c r="TGZ7" s="24"/>
      <c r="THA7" s="24"/>
      <c r="THB7" s="24"/>
      <c r="THC7" s="24"/>
      <c r="THD7" s="24"/>
      <c r="THE7" s="24"/>
      <c r="THF7" s="24"/>
      <c r="THG7" s="24"/>
      <c r="THH7" s="24"/>
      <c r="THI7" s="24"/>
      <c r="THJ7" s="24"/>
      <c r="THK7" s="24"/>
      <c r="THL7" s="24"/>
      <c r="THM7" s="24"/>
      <c r="THN7" s="24"/>
      <c r="THO7" s="24"/>
      <c r="THP7" s="24"/>
      <c r="THQ7" s="24"/>
      <c r="THR7" s="24"/>
      <c r="THS7" s="24"/>
      <c r="THT7" s="24"/>
      <c r="THU7" s="24"/>
      <c r="THV7" s="24"/>
      <c r="THW7" s="24"/>
      <c r="THX7" s="24"/>
      <c r="THY7" s="24"/>
      <c r="THZ7" s="24"/>
      <c r="TIA7" s="24"/>
      <c r="TIB7" s="24"/>
      <c r="TIC7" s="24"/>
      <c r="TID7" s="24"/>
      <c r="TIE7" s="24"/>
      <c r="TIF7" s="24"/>
      <c r="TIG7" s="24"/>
      <c r="TIH7" s="24"/>
      <c r="TII7" s="24"/>
      <c r="TIJ7" s="24"/>
      <c r="TIK7" s="24"/>
      <c r="TIL7" s="24"/>
      <c r="TIM7" s="24"/>
      <c r="TIN7" s="24"/>
      <c r="TIO7" s="24"/>
      <c r="TIP7" s="24"/>
      <c r="TIQ7" s="24"/>
      <c r="TIR7" s="24"/>
      <c r="TIS7" s="24"/>
      <c r="TIT7" s="24"/>
      <c r="TIU7" s="24"/>
      <c r="TIV7" s="24"/>
      <c r="TIW7" s="24"/>
      <c r="TIX7" s="24"/>
      <c r="TIY7" s="24"/>
      <c r="TIZ7" s="24"/>
      <c r="TJA7" s="24"/>
      <c r="TJB7" s="24"/>
      <c r="TJC7" s="24"/>
      <c r="TJD7" s="24"/>
      <c r="TJE7" s="24"/>
      <c r="TJF7" s="24"/>
      <c r="TJG7" s="24"/>
      <c r="TJH7" s="24"/>
      <c r="TJI7" s="24"/>
      <c r="TJJ7" s="24"/>
      <c r="TJK7" s="24"/>
      <c r="TJL7" s="24"/>
      <c r="TJM7" s="24"/>
      <c r="TJN7" s="24"/>
      <c r="TJO7" s="24"/>
      <c r="TJP7" s="24"/>
      <c r="TJQ7" s="24"/>
      <c r="TJR7" s="24"/>
      <c r="TJS7" s="24"/>
      <c r="TJT7" s="24"/>
      <c r="TJU7" s="24"/>
      <c r="TJV7" s="24"/>
      <c r="TJW7" s="24"/>
      <c r="TJX7" s="24"/>
      <c r="TJY7" s="24"/>
      <c r="TJZ7" s="24"/>
      <c r="TKA7" s="24"/>
      <c r="TKB7" s="24"/>
      <c r="TKC7" s="24"/>
      <c r="TKD7" s="24"/>
      <c r="TKE7" s="24"/>
      <c r="TKF7" s="24"/>
      <c r="TKG7" s="24"/>
      <c r="TKH7" s="24"/>
      <c r="TKI7" s="24"/>
      <c r="TKJ7" s="24"/>
      <c r="TKK7" s="24"/>
      <c r="TKL7" s="24"/>
      <c r="TKM7" s="24"/>
      <c r="TKN7" s="24"/>
      <c r="TKO7" s="24"/>
      <c r="TKP7" s="24"/>
      <c r="TKQ7" s="24"/>
      <c r="TKR7" s="24"/>
      <c r="TKS7" s="24"/>
      <c r="TKT7" s="24"/>
      <c r="TKU7" s="24"/>
      <c r="TKV7" s="24"/>
      <c r="TKW7" s="24"/>
      <c r="TKX7" s="24"/>
      <c r="TKY7" s="24"/>
      <c r="TKZ7" s="24"/>
      <c r="TLA7" s="24"/>
      <c r="TLB7" s="24"/>
      <c r="TLC7" s="24"/>
      <c r="TLD7" s="24"/>
      <c r="TLE7" s="24"/>
      <c r="TLF7" s="24"/>
      <c r="TLG7" s="24"/>
      <c r="TLH7" s="24"/>
      <c r="TLI7" s="24"/>
      <c r="TLJ7" s="24"/>
      <c r="TLK7" s="24"/>
      <c r="TLL7" s="24"/>
      <c r="TLM7" s="24"/>
      <c r="TLN7" s="24"/>
      <c r="TLO7" s="24"/>
      <c r="TLP7" s="24"/>
      <c r="TLQ7" s="24"/>
      <c r="TLR7" s="24"/>
      <c r="TLS7" s="24"/>
      <c r="TLT7" s="24"/>
      <c r="TLU7" s="24"/>
      <c r="TLV7" s="24"/>
      <c r="TLW7" s="24"/>
      <c r="TLX7" s="24"/>
      <c r="TLY7" s="24"/>
      <c r="TLZ7" s="24"/>
      <c r="TMA7" s="24"/>
      <c r="TMB7" s="24"/>
      <c r="TMC7" s="24"/>
      <c r="TMD7" s="24"/>
      <c r="TME7" s="24"/>
      <c r="TMF7" s="24"/>
      <c r="TMG7" s="24"/>
      <c r="TMH7" s="24"/>
      <c r="TMI7" s="24"/>
      <c r="TMJ7" s="24"/>
      <c r="TMK7" s="24"/>
      <c r="TML7" s="24"/>
      <c r="TMM7" s="24"/>
      <c r="TMN7" s="24"/>
      <c r="TMO7" s="24"/>
      <c r="TMP7" s="24"/>
      <c r="TMQ7" s="24"/>
      <c r="TMR7" s="24"/>
      <c r="TMS7" s="24"/>
      <c r="TMT7" s="24"/>
      <c r="TMU7" s="24"/>
      <c r="TMV7" s="24"/>
      <c r="TMW7" s="24"/>
      <c r="TMX7" s="24"/>
      <c r="TMY7" s="24"/>
      <c r="TMZ7" s="24"/>
      <c r="TNA7" s="24"/>
      <c r="TNB7" s="24"/>
      <c r="TNC7" s="24"/>
      <c r="TND7" s="24"/>
      <c r="TNE7" s="24"/>
      <c r="TNF7" s="24"/>
      <c r="TNG7" s="24"/>
      <c r="TNH7" s="24"/>
      <c r="TNI7" s="24"/>
      <c r="TNJ7" s="24"/>
      <c r="TNK7" s="24"/>
      <c r="TNL7" s="24"/>
      <c r="TNM7" s="24"/>
      <c r="TNN7" s="24"/>
      <c r="TNO7" s="24"/>
      <c r="TNP7" s="24"/>
      <c r="TNQ7" s="24"/>
      <c r="TNR7" s="24"/>
      <c r="TNS7" s="24"/>
      <c r="TNT7" s="24"/>
      <c r="TNU7" s="24"/>
      <c r="TNV7" s="24"/>
      <c r="TNW7" s="24"/>
      <c r="TNX7" s="24"/>
      <c r="TNY7" s="24"/>
      <c r="TNZ7" s="24"/>
      <c r="TOA7" s="24"/>
      <c r="TOB7" s="24"/>
      <c r="TOC7" s="24"/>
      <c r="TOD7" s="24"/>
      <c r="TOE7" s="24"/>
      <c r="TOF7" s="24"/>
      <c r="TOG7" s="24"/>
      <c r="TOH7" s="24"/>
      <c r="TOI7" s="24"/>
      <c r="TOJ7" s="24"/>
      <c r="TOK7" s="24"/>
      <c r="TOL7" s="24"/>
      <c r="TOM7" s="24"/>
      <c r="TON7" s="24"/>
      <c r="TOO7" s="24"/>
      <c r="TOP7" s="24"/>
      <c r="TOQ7" s="24"/>
      <c r="TOR7" s="24"/>
      <c r="TOS7" s="24"/>
      <c r="TOT7" s="24"/>
      <c r="TOU7" s="24"/>
      <c r="TOV7" s="24"/>
      <c r="TOW7" s="24"/>
      <c r="TOX7" s="24"/>
      <c r="TOY7" s="24"/>
      <c r="TOZ7" s="24"/>
      <c r="TPA7" s="24"/>
      <c r="TPB7" s="24"/>
      <c r="TPC7" s="24"/>
      <c r="TPD7" s="24"/>
      <c r="TPE7" s="24"/>
      <c r="TPF7" s="24"/>
      <c r="TPG7" s="24"/>
      <c r="TPH7" s="24"/>
      <c r="TPI7" s="24"/>
      <c r="TPJ7" s="24"/>
      <c r="TPK7" s="24"/>
      <c r="TPL7" s="24"/>
      <c r="TPM7" s="24"/>
      <c r="TPN7" s="24"/>
      <c r="TPO7" s="24"/>
      <c r="TPP7" s="24"/>
      <c r="TPQ7" s="24"/>
      <c r="TPR7" s="24"/>
      <c r="TPS7" s="24"/>
      <c r="TPT7" s="24"/>
      <c r="TPU7" s="24"/>
      <c r="TPV7" s="24"/>
      <c r="TPW7" s="24"/>
      <c r="TPX7" s="24"/>
      <c r="TPY7" s="24"/>
      <c r="TPZ7" s="24"/>
      <c r="TQA7" s="24"/>
      <c r="TQB7" s="24"/>
      <c r="TQC7" s="24"/>
      <c r="TQD7" s="24"/>
      <c r="TQE7" s="24"/>
      <c r="TQF7" s="24"/>
      <c r="TQG7" s="24"/>
      <c r="TQH7" s="24"/>
      <c r="TQI7" s="24"/>
      <c r="TQJ7" s="24"/>
      <c r="TQK7" s="24"/>
      <c r="TQL7" s="24"/>
      <c r="TQM7" s="24"/>
      <c r="TQN7" s="24"/>
      <c r="TQO7" s="24"/>
      <c r="TQP7" s="24"/>
      <c r="TQQ7" s="24"/>
      <c r="TQR7" s="24"/>
      <c r="TQS7" s="24"/>
      <c r="TQT7" s="24"/>
      <c r="TQU7" s="24"/>
      <c r="TQV7" s="24"/>
      <c r="TQW7" s="24"/>
      <c r="TQX7" s="24"/>
      <c r="TQY7" s="24"/>
      <c r="TQZ7" s="24"/>
      <c r="TRA7" s="24"/>
      <c r="TRB7" s="24"/>
      <c r="TRC7" s="24"/>
      <c r="TRD7" s="24"/>
      <c r="TRE7" s="24"/>
      <c r="TRF7" s="24"/>
      <c r="TRG7" s="24"/>
      <c r="TRH7" s="24"/>
      <c r="TRI7" s="24"/>
      <c r="TRJ7" s="24"/>
      <c r="TRK7" s="24"/>
      <c r="TRL7" s="24"/>
      <c r="TRM7" s="24"/>
      <c r="TRN7" s="24"/>
      <c r="TRO7" s="24"/>
      <c r="TRP7" s="24"/>
      <c r="TRQ7" s="24"/>
      <c r="TRR7" s="24"/>
      <c r="TRS7" s="24"/>
      <c r="TRT7" s="24"/>
      <c r="TRU7" s="24"/>
      <c r="TRV7" s="24"/>
      <c r="TRW7" s="24"/>
      <c r="TRX7" s="24"/>
      <c r="TRY7" s="24"/>
      <c r="TRZ7" s="24"/>
      <c r="TSA7" s="24"/>
      <c r="TSB7" s="24"/>
      <c r="TSC7" s="24"/>
      <c r="TSD7" s="24"/>
      <c r="TSE7" s="24"/>
      <c r="TSF7" s="24"/>
      <c r="TSG7" s="24"/>
      <c r="TSH7" s="24"/>
      <c r="TSI7" s="24"/>
      <c r="TSJ7" s="24"/>
      <c r="TSK7" s="24"/>
      <c r="TSL7" s="24"/>
      <c r="TSM7" s="24"/>
      <c r="TSN7" s="24"/>
      <c r="TSO7" s="24"/>
      <c r="TSP7" s="24"/>
      <c r="TSQ7" s="24"/>
      <c r="TSR7" s="24"/>
      <c r="TSS7" s="24"/>
      <c r="TST7" s="24"/>
      <c r="TSU7" s="24"/>
      <c r="TSV7" s="24"/>
      <c r="TSW7" s="24"/>
      <c r="TSX7" s="24"/>
      <c r="TSY7" s="24"/>
      <c r="TSZ7" s="24"/>
      <c r="TTA7" s="24"/>
      <c r="TTB7" s="24"/>
      <c r="TTC7" s="24"/>
      <c r="TTD7" s="24"/>
      <c r="TTE7" s="24"/>
      <c r="TTF7" s="24"/>
      <c r="TTG7" s="24"/>
      <c r="TTH7" s="24"/>
      <c r="TTI7" s="24"/>
      <c r="TTJ7" s="24"/>
      <c r="TTK7" s="24"/>
      <c r="TTL7" s="24"/>
      <c r="TTM7" s="24"/>
      <c r="TTN7" s="24"/>
      <c r="TTO7" s="24"/>
      <c r="TTP7" s="24"/>
      <c r="TTQ7" s="24"/>
      <c r="TTR7" s="24"/>
      <c r="TTS7" s="24"/>
      <c r="TTT7" s="24"/>
      <c r="TTU7" s="24"/>
      <c r="TTV7" s="24"/>
      <c r="TTW7" s="24"/>
      <c r="TTX7" s="24"/>
      <c r="TTY7" s="24"/>
      <c r="TTZ7" s="24"/>
      <c r="TUA7" s="24"/>
      <c r="TUB7" s="24"/>
      <c r="TUC7" s="24"/>
      <c r="TUD7" s="24"/>
      <c r="TUE7" s="24"/>
      <c r="TUF7" s="24"/>
      <c r="TUG7" s="24"/>
      <c r="TUH7" s="24"/>
      <c r="TUI7" s="24"/>
      <c r="TUJ7" s="24"/>
      <c r="TUK7" s="24"/>
      <c r="TUL7" s="24"/>
      <c r="TUM7" s="24"/>
      <c r="TUN7" s="24"/>
      <c r="TUO7" s="24"/>
      <c r="TUP7" s="24"/>
      <c r="TUQ7" s="24"/>
      <c r="TUR7" s="24"/>
      <c r="TUS7" s="24"/>
      <c r="TUT7" s="24"/>
      <c r="TUU7" s="24"/>
      <c r="TUV7" s="24"/>
      <c r="TUW7" s="24"/>
      <c r="TUX7" s="24"/>
      <c r="TUY7" s="24"/>
      <c r="TUZ7" s="24"/>
      <c r="TVA7" s="24"/>
      <c r="TVB7" s="24"/>
      <c r="TVC7" s="24"/>
      <c r="TVD7" s="24"/>
      <c r="TVE7" s="24"/>
      <c r="TVF7" s="24"/>
      <c r="TVG7" s="24"/>
      <c r="TVH7" s="24"/>
      <c r="TVI7" s="24"/>
      <c r="TVJ7" s="24"/>
      <c r="TVK7" s="24"/>
      <c r="TVL7" s="24"/>
      <c r="TVM7" s="24"/>
      <c r="TVN7" s="24"/>
      <c r="TVO7" s="24"/>
      <c r="TVP7" s="24"/>
      <c r="TVQ7" s="24"/>
      <c r="TVR7" s="24"/>
      <c r="TVS7" s="24"/>
      <c r="TVT7" s="24"/>
      <c r="TVU7" s="24"/>
      <c r="TVV7" s="24"/>
      <c r="TVW7" s="24"/>
      <c r="TVX7" s="24"/>
      <c r="TVY7" s="24"/>
      <c r="TVZ7" s="24"/>
      <c r="TWA7" s="24"/>
      <c r="TWB7" s="24"/>
      <c r="TWC7" s="24"/>
      <c r="TWD7" s="24"/>
      <c r="TWE7" s="24"/>
      <c r="TWF7" s="24"/>
      <c r="TWG7" s="24"/>
      <c r="TWH7" s="24"/>
      <c r="TWI7" s="24"/>
      <c r="TWJ7" s="24"/>
      <c r="TWK7" s="24"/>
      <c r="TWL7" s="24"/>
      <c r="TWM7" s="24"/>
      <c r="TWN7" s="24"/>
      <c r="TWO7" s="24"/>
      <c r="TWP7" s="24"/>
      <c r="TWQ7" s="24"/>
      <c r="TWR7" s="24"/>
      <c r="TWS7" s="24"/>
      <c r="TWT7" s="24"/>
      <c r="TWU7" s="24"/>
      <c r="TWV7" s="24"/>
      <c r="TWW7" s="24"/>
      <c r="TWX7" s="24"/>
      <c r="TWY7" s="24"/>
      <c r="TWZ7" s="24"/>
      <c r="TXA7" s="24"/>
      <c r="TXB7" s="24"/>
      <c r="TXC7" s="24"/>
      <c r="TXD7" s="24"/>
      <c r="TXE7" s="24"/>
      <c r="TXF7" s="24"/>
      <c r="TXG7" s="24"/>
      <c r="TXH7" s="24"/>
      <c r="TXI7" s="24"/>
      <c r="TXJ7" s="24"/>
      <c r="TXK7" s="24"/>
      <c r="TXL7" s="24"/>
      <c r="TXM7" s="24"/>
      <c r="TXN7" s="24"/>
      <c r="TXO7" s="24"/>
      <c r="TXP7" s="24"/>
      <c r="TXQ7" s="24"/>
      <c r="TXR7" s="24"/>
      <c r="TXS7" s="24"/>
      <c r="TXT7" s="24"/>
      <c r="TXU7" s="24"/>
      <c r="TXV7" s="24"/>
      <c r="TXW7" s="24"/>
      <c r="TXX7" s="24"/>
      <c r="TXY7" s="24"/>
      <c r="TXZ7" s="24"/>
      <c r="TYA7" s="24"/>
      <c r="TYB7" s="24"/>
      <c r="TYC7" s="24"/>
      <c r="TYD7" s="24"/>
      <c r="TYE7" s="24"/>
      <c r="TYF7" s="24"/>
      <c r="TYG7" s="24"/>
      <c r="TYH7" s="24"/>
      <c r="TYI7" s="24"/>
      <c r="TYJ7" s="24"/>
      <c r="TYK7" s="24"/>
      <c r="TYL7" s="24"/>
      <c r="TYM7" s="24"/>
      <c r="TYN7" s="24"/>
      <c r="TYO7" s="24"/>
      <c r="TYP7" s="24"/>
      <c r="TYQ7" s="24"/>
      <c r="TYR7" s="24"/>
      <c r="TYS7" s="24"/>
      <c r="TYT7" s="24"/>
      <c r="TYU7" s="24"/>
      <c r="TYV7" s="24"/>
      <c r="TYW7" s="24"/>
      <c r="TYX7" s="24"/>
      <c r="TYY7" s="24"/>
      <c r="TYZ7" s="24"/>
      <c r="TZA7" s="24"/>
      <c r="TZB7" s="24"/>
      <c r="TZC7" s="24"/>
      <c r="TZD7" s="24"/>
      <c r="TZE7" s="24"/>
      <c r="TZF7" s="24"/>
      <c r="TZG7" s="24"/>
      <c r="TZH7" s="24"/>
      <c r="TZI7" s="24"/>
      <c r="TZJ7" s="24"/>
      <c r="TZK7" s="24"/>
      <c r="TZL7" s="24"/>
      <c r="TZM7" s="24"/>
      <c r="TZN7" s="24"/>
      <c r="TZO7" s="24"/>
      <c r="TZP7" s="24"/>
      <c r="TZQ7" s="24"/>
      <c r="TZR7" s="24"/>
      <c r="TZS7" s="24"/>
      <c r="TZT7" s="24"/>
      <c r="TZU7" s="24"/>
      <c r="TZV7" s="24"/>
      <c r="TZW7" s="24"/>
      <c r="TZX7" s="24"/>
      <c r="TZY7" s="24"/>
      <c r="TZZ7" s="24"/>
      <c r="UAA7" s="24"/>
      <c r="UAB7" s="24"/>
      <c r="UAC7" s="24"/>
      <c r="UAD7" s="24"/>
      <c r="UAE7" s="24"/>
      <c r="UAF7" s="24"/>
      <c r="UAG7" s="24"/>
      <c r="UAH7" s="24"/>
      <c r="UAI7" s="24"/>
      <c r="UAJ7" s="24"/>
      <c r="UAK7" s="24"/>
      <c r="UAL7" s="24"/>
      <c r="UAM7" s="24"/>
      <c r="UAN7" s="24"/>
      <c r="UAO7" s="24"/>
      <c r="UAP7" s="24"/>
      <c r="UAQ7" s="24"/>
      <c r="UAR7" s="24"/>
      <c r="UAS7" s="24"/>
      <c r="UAT7" s="24"/>
      <c r="UAU7" s="24"/>
      <c r="UAV7" s="24"/>
      <c r="UAW7" s="24"/>
      <c r="UAX7" s="24"/>
      <c r="UAY7" s="24"/>
      <c r="UAZ7" s="24"/>
      <c r="UBA7" s="24"/>
      <c r="UBB7" s="24"/>
      <c r="UBC7" s="24"/>
      <c r="UBD7" s="24"/>
      <c r="UBE7" s="24"/>
      <c r="UBF7" s="24"/>
      <c r="UBG7" s="24"/>
      <c r="UBH7" s="24"/>
      <c r="UBI7" s="24"/>
      <c r="UBJ7" s="24"/>
      <c r="UBK7" s="24"/>
      <c r="UBL7" s="24"/>
      <c r="UBM7" s="24"/>
      <c r="UBN7" s="24"/>
      <c r="UBO7" s="24"/>
      <c r="UBP7" s="24"/>
      <c r="UBQ7" s="24"/>
      <c r="UBR7" s="24"/>
      <c r="UBS7" s="24"/>
      <c r="UBT7" s="24"/>
      <c r="UBU7" s="24"/>
      <c r="UBV7" s="24"/>
      <c r="UBW7" s="24"/>
      <c r="UBX7" s="24"/>
      <c r="UBY7" s="24"/>
      <c r="UBZ7" s="24"/>
      <c r="UCA7" s="24"/>
      <c r="UCB7" s="24"/>
      <c r="UCC7" s="24"/>
      <c r="UCD7" s="24"/>
      <c r="UCE7" s="24"/>
      <c r="UCF7" s="24"/>
      <c r="UCG7" s="24"/>
      <c r="UCH7" s="24"/>
      <c r="UCI7" s="24"/>
      <c r="UCJ7" s="24"/>
      <c r="UCK7" s="24"/>
      <c r="UCL7" s="24"/>
      <c r="UCM7" s="24"/>
      <c r="UCN7" s="24"/>
      <c r="UCO7" s="24"/>
      <c r="UCP7" s="24"/>
      <c r="UCQ7" s="24"/>
      <c r="UCR7" s="24"/>
      <c r="UCS7" s="24"/>
      <c r="UCT7" s="24"/>
      <c r="UCU7" s="24"/>
      <c r="UCV7" s="24"/>
      <c r="UCW7" s="24"/>
      <c r="UCX7" s="24"/>
      <c r="UCY7" s="24"/>
      <c r="UCZ7" s="24"/>
      <c r="UDA7" s="24"/>
      <c r="UDB7" s="24"/>
      <c r="UDC7" s="24"/>
      <c r="UDD7" s="24"/>
      <c r="UDE7" s="24"/>
      <c r="UDF7" s="24"/>
      <c r="UDG7" s="24"/>
      <c r="UDH7" s="24"/>
      <c r="UDI7" s="24"/>
      <c r="UDJ7" s="24"/>
      <c r="UDK7" s="24"/>
      <c r="UDL7" s="24"/>
      <c r="UDM7" s="24"/>
      <c r="UDN7" s="24"/>
      <c r="UDO7" s="24"/>
      <c r="UDP7" s="24"/>
      <c r="UDQ7" s="24"/>
      <c r="UDR7" s="24"/>
      <c r="UDS7" s="24"/>
      <c r="UDT7" s="24"/>
      <c r="UDU7" s="24"/>
      <c r="UDV7" s="24"/>
      <c r="UDW7" s="24"/>
      <c r="UDX7" s="24"/>
      <c r="UDY7" s="24"/>
      <c r="UDZ7" s="24"/>
      <c r="UEA7" s="24"/>
      <c r="UEB7" s="24"/>
      <c r="UEC7" s="24"/>
      <c r="UED7" s="24"/>
      <c r="UEE7" s="24"/>
      <c r="UEF7" s="24"/>
      <c r="UEG7" s="24"/>
      <c r="UEH7" s="24"/>
      <c r="UEI7" s="24"/>
      <c r="UEJ7" s="24"/>
      <c r="UEK7" s="24"/>
      <c r="UEL7" s="24"/>
      <c r="UEM7" s="24"/>
      <c r="UEN7" s="24"/>
      <c r="UEO7" s="24"/>
      <c r="UEP7" s="24"/>
      <c r="UEQ7" s="24"/>
      <c r="UER7" s="24"/>
      <c r="UES7" s="24"/>
      <c r="UET7" s="24"/>
      <c r="UEU7" s="24"/>
      <c r="UEV7" s="24"/>
      <c r="UEW7" s="24"/>
      <c r="UEX7" s="24"/>
      <c r="UEY7" s="24"/>
      <c r="UEZ7" s="24"/>
      <c r="UFA7" s="24"/>
      <c r="UFB7" s="24"/>
      <c r="UFC7" s="24"/>
      <c r="UFD7" s="24"/>
      <c r="UFE7" s="24"/>
      <c r="UFF7" s="24"/>
      <c r="UFG7" s="24"/>
      <c r="UFH7" s="24"/>
      <c r="UFI7" s="24"/>
      <c r="UFJ7" s="24"/>
      <c r="UFK7" s="24"/>
      <c r="UFL7" s="24"/>
      <c r="UFM7" s="24"/>
      <c r="UFN7" s="24"/>
      <c r="UFO7" s="24"/>
      <c r="UFP7" s="24"/>
      <c r="UFQ7" s="24"/>
      <c r="UFR7" s="24"/>
      <c r="UFS7" s="24"/>
      <c r="UFT7" s="24"/>
      <c r="UFU7" s="24"/>
      <c r="UFV7" s="24"/>
      <c r="UFW7" s="24"/>
      <c r="UFX7" s="24"/>
      <c r="UFY7" s="24"/>
      <c r="UFZ7" s="24"/>
      <c r="UGA7" s="24"/>
      <c r="UGB7" s="24"/>
      <c r="UGC7" s="24"/>
      <c r="UGD7" s="24"/>
      <c r="UGE7" s="24"/>
      <c r="UGF7" s="24"/>
      <c r="UGG7" s="24"/>
      <c r="UGH7" s="24"/>
      <c r="UGI7" s="24"/>
      <c r="UGJ7" s="24"/>
      <c r="UGK7" s="24"/>
      <c r="UGL7" s="24"/>
      <c r="UGM7" s="24"/>
      <c r="UGN7" s="24"/>
      <c r="UGO7" s="24"/>
      <c r="UGP7" s="24"/>
      <c r="UGQ7" s="24"/>
      <c r="UGR7" s="24"/>
      <c r="UGS7" s="24"/>
      <c r="UGT7" s="24"/>
      <c r="UGU7" s="24"/>
      <c r="UGV7" s="24"/>
      <c r="UGW7" s="24"/>
      <c r="UGX7" s="24"/>
      <c r="UGY7" s="24"/>
      <c r="UGZ7" s="24"/>
      <c r="UHA7" s="24"/>
      <c r="UHB7" s="24"/>
      <c r="UHC7" s="24"/>
      <c r="UHD7" s="24"/>
      <c r="UHE7" s="24"/>
      <c r="UHF7" s="24"/>
      <c r="UHG7" s="24"/>
      <c r="UHH7" s="24"/>
      <c r="UHI7" s="24"/>
      <c r="UHJ7" s="24"/>
      <c r="UHK7" s="24"/>
      <c r="UHL7" s="24"/>
      <c r="UHM7" s="24"/>
      <c r="UHN7" s="24"/>
      <c r="UHO7" s="24"/>
      <c r="UHP7" s="24"/>
      <c r="UHQ7" s="24"/>
      <c r="UHR7" s="24"/>
      <c r="UHS7" s="24"/>
      <c r="UHT7" s="24"/>
      <c r="UHU7" s="24"/>
      <c r="UHV7" s="24"/>
      <c r="UHW7" s="24"/>
      <c r="UHX7" s="24"/>
      <c r="UHY7" s="24"/>
      <c r="UHZ7" s="24"/>
      <c r="UIA7" s="24"/>
      <c r="UIB7" s="24"/>
      <c r="UIC7" s="24"/>
      <c r="UID7" s="24"/>
      <c r="UIE7" s="24"/>
      <c r="UIF7" s="24"/>
      <c r="UIG7" s="24"/>
      <c r="UIH7" s="24"/>
      <c r="UII7" s="24"/>
      <c r="UIJ7" s="24"/>
      <c r="UIK7" s="24"/>
      <c r="UIL7" s="24"/>
      <c r="UIM7" s="24"/>
      <c r="UIN7" s="24"/>
      <c r="UIO7" s="24"/>
      <c r="UIP7" s="24"/>
      <c r="UIQ7" s="24"/>
      <c r="UIR7" s="24"/>
      <c r="UIS7" s="24"/>
      <c r="UIT7" s="24"/>
      <c r="UIU7" s="24"/>
      <c r="UIV7" s="24"/>
      <c r="UIW7" s="24"/>
      <c r="UIX7" s="24"/>
      <c r="UIY7" s="24"/>
      <c r="UIZ7" s="24"/>
      <c r="UJA7" s="24"/>
      <c r="UJB7" s="24"/>
      <c r="UJC7" s="24"/>
      <c r="UJD7" s="24"/>
      <c r="UJE7" s="24"/>
      <c r="UJF7" s="24"/>
      <c r="UJG7" s="24"/>
      <c r="UJH7" s="24"/>
      <c r="UJI7" s="24"/>
      <c r="UJJ7" s="24"/>
      <c r="UJK7" s="24"/>
      <c r="UJL7" s="24"/>
      <c r="UJM7" s="24"/>
      <c r="UJN7" s="24"/>
      <c r="UJO7" s="24"/>
      <c r="UJP7" s="24"/>
      <c r="UJQ7" s="24"/>
      <c r="UJR7" s="24"/>
      <c r="UJS7" s="24"/>
      <c r="UJT7" s="24"/>
      <c r="UJU7" s="24"/>
      <c r="UJV7" s="24"/>
      <c r="UJW7" s="24"/>
      <c r="UJX7" s="24"/>
      <c r="UJY7" s="24"/>
      <c r="UJZ7" s="24"/>
      <c r="UKA7" s="24"/>
      <c r="UKB7" s="24"/>
      <c r="UKC7" s="24"/>
      <c r="UKD7" s="24"/>
      <c r="UKE7" s="24"/>
      <c r="UKF7" s="24"/>
      <c r="UKG7" s="24"/>
      <c r="UKH7" s="24"/>
      <c r="UKI7" s="24"/>
      <c r="UKJ7" s="24"/>
      <c r="UKK7" s="24"/>
      <c r="UKL7" s="24"/>
      <c r="UKM7" s="24"/>
      <c r="UKN7" s="24"/>
      <c r="UKO7" s="24"/>
      <c r="UKP7" s="24"/>
      <c r="UKQ7" s="24"/>
      <c r="UKR7" s="24"/>
      <c r="UKS7" s="24"/>
      <c r="UKT7" s="24"/>
      <c r="UKU7" s="24"/>
      <c r="UKV7" s="24"/>
      <c r="UKW7" s="24"/>
      <c r="UKX7" s="24"/>
      <c r="UKY7" s="24"/>
      <c r="UKZ7" s="24"/>
      <c r="ULA7" s="24"/>
      <c r="ULB7" s="24"/>
      <c r="ULC7" s="24"/>
      <c r="ULD7" s="24"/>
      <c r="ULE7" s="24"/>
      <c r="ULF7" s="24"/>
      <c r="ULG7" s="24"/>
      <c r="ULH7" s="24"/>
      <c r="ULI7" s="24"/>
      <c r="ULJ7" s="24"/>
      <c r="ULK7" s="24"/>
      <c r="ULL7" s="24"/>
      <c r="ULM7" s="24"/>
      <c r="ULN7" s="24"/>
      <c r="ULO7" s="24"/>
      <c r="ULP7" s="24"/>
      <c r="ULQ7" s="24"/>
      <c r="ULR7" s="24"/>
      <c r="ULS7" s="24"/>
      <c r="ULT7" s="24"/>
      <c r="ULU7" s="24"/>
      <c r="ULV7" s="24"/>
      <c r="ULW7" s="24"/>
      <c r="ULX7" s="24"/>
      <c r="ULY7" s="24"/>
      <c r="ULZ7" s="24"/>
      <c r="UMA7" s="24"/>
      <c r="UMB7" s="24"/>
      <c r="UMC7" s="24"/>
      <c r="UMD7" s="24"/>
      <c r="UME7" s="24"/>
      <c r="UMF7" s="24"/>
      <c r="UMG7" s="24"/>
      <c r="UMH7" s="24"/>
      <c r="UMI7" s="24"/>
      <c r="UMJ7" s="24"/>
      <c r="UMK7" s="24"/>
      <c r="UML7" s="24"/>
      <c r="UMM7" s="24"/>
      <c r="UMN7" s="24"/>
      <c r="UMO7" s="24"/>
      <c r="UMP7" s="24"/>
      <c r="UMQ7" s="24"/>
      <c r="UMR7" s="24"/>
      <c r="UMS7" s="24"/>
      <c r="UMT7" s="24"/>
      <c r="UMU7" s="24"/>
      <c r="UMV7" s="24"/>
      <c r="UMW7" s="24"/>
      <c r="UMX7" s="24"/>
      <c r="UMY7" s="24"/>
      <c r="UMZ7" s="24"/>
      <c r="UNA7" s="24"/>
      <c r="UNB7" s="24"/>
      <c r="UNC7" s="24"/>
      <c r="UND7" s="24"/>
      <c r="UNE7" s="24"/>
      <c r="UNF7" s="24"/>
      <c r="UNG7" s="24"/>
      <c r="UNH7" s="24"/>
      <c r="UNI7" s="24"/>
      <c r="UNJ7" s="24"/>
      <c r="UNK7" s="24"/>
      <c r="UNL7" s="24"/>
      <c r="UNM7" s="24"/>
      <c r="UNN7" s="24"/>
      <c r="UNO7" s="24"/>
      <c r="UNP7" s="24"/>
      <c r="UNQ7" s="24"/>
      <c r="UNR7" s="24"/>
      <c r="UNS7" s="24"/>
      <c r="UNT7" s="24"/>
      <c r="UNU7" s="24"/>
      <c r="UNV7" s="24"/>
      <c r="UNW7" s="24"/>
      <c r="UNX7" s="24"/>
      <c r="UNY7" s="24"/>
      <c r="UNZ7" s="24"/>
      <c r="UOA7" s="24"/>
      <c r="UOB7" s="24"/>
      <c r="UOC7" s="24"/>
      <c r="UOD7" s="24"/>
      <c r="UOE7" s="24"/>
      <c r="UOF7" s="24"/>
      <c r="UOG7" s="24"/>
      <c r="UOH7" s="24"/>
      <c r="UOI7" s="24"/>
      <c r="UOJ7" s="24"/>
      <c r="UOK7" s="24"/>
      <c r="UOL7" s="24"/>
      <c r="UOM7" s="24"/>
      <c r="UON7" s="24"/>
      <c r="UOO7" s="24"/>
      <c r="UOP7" s="24"/>
      <c r="UOQ7" s="24"/>
      <c r="UOR7" s="24"/>
      <c r="UOS7" s="24"/>
      <c r="UOT7" s="24"/>
      <c r="UOU7" s="24"/>
      <c r="UOV7" s="24"/>
      <c r="UOW7" s="24"/>
      <c r="UOX7" s="24"/>
      <c r="UOY7" s="24"/>
      <c r="UOZ7" s="24"/>
      <c r="UPA7" s="24"/>
      <c r="UPB7" s="24"/>
      <c r="UPC7" s="24"/>
      <c r="UPD7" s="24"/>
      <c r="UPE7" s="24"/>
      <c r="UPF7" s="24"/>
      <c r="UPG7" s="24"/>
      <c r="UPH7" s="24"/>
      <c r="UPI7" s="24"/>
      <c r="UPJ7" s="24"/>
      <c r="UPK7" s="24"/>
      <c r="UPL7" s="24"/>
      <c r="UPM7" s="24"/>
      <c r="UPN7" s="24"/>
      <c r="UPO7" s="24"/>
      <c r="UPP7" s="24"/>
      <c r="UPQ7" s="24"/>
      <c r="UPR7" s="24"/>
      <c r="UPS7" s="24"/>
      <c r="UPT7" s="24"/>
      <c r="UPU7" s="24"/>
      <c r="UPV7" s="24"/>
      <c r="UPW7" s="24"/>
      <c r="UPX7" s="24"/>
      <c r="UPY7" s="24"/>
      <c r="UPZ7" s="24"/>
      <c r="UQA7" s="24"/>
      <c r="UQB7" s="24"/>
      <c r="UQC7" s="24"/>
      <c r="UQD7" s="24"/>
      <c r="UQE7" s="24"/>
      <c r="UQF7" s="24"/>
      <c r="UQG7" s="24"/>
      <c r="UQH7" s="24"/>
      <c r="UQI7" s="24"/>
      <c r="UQJ7" s="24"/>
      <c r="UQK7" s="24"/>
      <c r="UQL7" s="24"/>
      <c r="UQM7" s="24"/>
      <c r="UQN7" s="24"/>
      <c r="UQO7" s="24"/>
      <c r="UQP7" s="24"/>
      <c r="UQQ7" s="24"/>
      <c r="UQR7" s="24"/>
      <c r="UQS7" s="24"/>
      <c r="UQT7" s="24"/>
      <c r="UQU7" s="24"/>
      <c r="UQV7" s="24"/>
      <c r="UQW7" s="24"/>
      <c r="UQX7" s="24"/>
      <c r="UQY7" s="24"/>
      <c r="UQZ7" s="24"/>
      <c r="URA7" s="24"/>
      <c r="URB7" s="24"/>
      <c r="URC7" s="24"/>
      <c r="URD7" s="24"/>
      <c r="URE7" s="24"/>
      <c r="URF7" s="24"/>
      <c r="URG7" s="24"/>
      <c r="URH7" s="24"/>
      <c r="URI7" s="24"/>
      <c r="URJ7" s="24"/>
      <c r="URK7" s="24"/>
      <c r="URL7" s="24"/>
      <c r="URM7" s="24"/>
      <c r="URN7" s="24"/>
      <c r="URO7" s="24"/>
      <c r="URP7" s="24"/>
      <c r="URQ7" s="24"/>
      <c r="URR7" s="24"/>
      <c r="URS7" s="24"/>
      <c r="URT7" s="24"/>
      <c r="URU7" s="24"/>
      <c r="URV7" s="24"/>
      <c r="URW7" s="24"/>
      <c r="URX7" s="24"/>
      <c r="URY7" s="24"/>
      <c r="URZ7" s="24"/>
      <c r="USA7" s="24"/>
      <c r="USB7" s="24"/>
      <c r="USC7" s="24"/>
      <c r="USD7" s="24"/>
      <c r="USE7" s="24"/>
      <c r="USF7" s="24"/>
      <c r="USG7" s="24"/>
      <c r="USH7" s="24"/>
      <c r="USI7" s="24"/>
      <c r="USJ7" s="24"/>
      <c r="USK7" s="24"/>
      <c r="USL7" s="24"/>
      <c r="USM7" s="24"/>
      <c r="USN7" s="24"/>
      <c r="USO7" s="24"/>
      <c r="USP7" s="24"/>
      <c r="USQ7" s="24"/>
      <c r="USR7" s="24"/>
      <c r="USS7" s="24"/>
      <c r="UST7" s="24"/>
      <c r="USU7" s="24"/>
      <c r="USV7" s="24"/>
      <c r="USW7" s="24"/>
      <c r="USX7" s="24"/>
      <c r="USY7" s="24"/>
      <c r="USZ7" s="24"/>
      <c r="UTA7" s="24"/>
      <c r="UTB7" s="24"/>
      <c r="UTC7" s="24"/>
      <c r="UTD7" s="24"/>
      <c r="UTE7" s="24"/>
      <c r="UTF7" s="24"/>
      <c r="UTG7" s="24"/>
      <c r="UTH7" s="24"/>
      <c r="UTI7" s="24"/>
      <c r="UTJ7" s="24"/>
      <c r="UTK7" s="24"/>
      <c r="UTL7" s="24"/>
      <c r="UTM7" s="24"/>
      <c r="UTN7" s="24"/>
      <c r="UTO7" s="24"/>
      <c r="UTP7" s="24"/>
      <c r="UTQ7" s="24"/>
      <c r="UTR7" s="24"/>
      <c r="UTS7" s="24"/>
      <c r="UTT7" s="24"/>
      <c r="UTU7" s="24"/>
      <c r="UTV7" s="24"/>
      <c r="UTW7" s="24"/>
      <c r="UTX7" s="24"/>
      <c r="UTY7" s="24"/>
      <c r="UTZ7" s="24"/>
      <c r="UUA7" s="24"/>
      <c r="UUB7" s="24"/>
      <c r="UUC7" s="24"/>
      <c r="UUD7" s="24"/>
      <c r="UUE7" s="24"/>
      <c r="UUF7" s="24"/>
      <c r="UUG7" s="24"/>
      <c r="UUH7" s="24"/>
      <c r="UUI7" s="24"/>
      <c r="UUJ7" s="24"/>
      <c r="UUK7" s="24"/>
      <c r="UUL7" s="24"/>
      <c r="UUM7" s="24"/>
      <c r="UUN7" s="24"/>
      <c r="UUO7" s="24"/>
      <c r="UUP7" s="24"/>
      <c r="UUQ7" s="24"/>
      <c r="UUR7" s="24"/>
      <c r="UUS7" s="24"/>
      <c r="UUT7" s="24"/>
      <c r="UUU7" s="24"/>
      <c r="UUV7" s="24"/>
      <c r="UUW7" s="24"/>
      <c r="UUX7" s="24"/>
      <c r="UUY7" s="24"/>
      <c r="UUZ7" s="24"/>
      <c r="UVA7" s="24"/>
      <c r="UVB7" s="24"/>
      <c r="UVC7" s="24"/>
      <c r="UVD7" s="24"/>
      <c r="UVE7" s="24"/>
      <c r="UVF7" s="24"/>
      <c r="UVG7" s="24"/>
      <c r="UVH7" s="24"/>
      <c r="UVI7" s="24"/>
      <c r="UVJ7" s="24"/>
      <c r="UVK7" s="24"/>
      <c r="UVL7" s="24"/>
      <c r="UVM7" s="24"/>
      <c r="UVN7" s="24"/>
      <c r="UVO7" s="24"/>
      <c r="UVP7" s="24"/>
      <c r="UVQ7" s="24"/>
      <c r="UVR7" s="24"/>
      <c r="UVS7" s="24"/>
      <c r="UVT7" s="24"/>
      <c r="UVU7" s="24"/>
      <c r="UVV7" s="24"/>
      <c r="UVW7" s="24"/>
      <c r="UVX7" s="24"/>
      <c r="UVY7" s="24"/>
      <c r="UVZ7" s="24"/>
      <c r="UWA7" s="24"/>
      <c r="UWB7" s="24"/>
      <c r="UWC7" s="24"/>
      <c r="UWD7" s="24"/>
      <c r="UWE7" s="24"/>
      <c r="UWF7" s="24"/>
      <c r="UWG7" s="24"/>
      <c r="UWH7" s="24"/>
      <c r="UWI7" s="24"/>
      <c r="UWJ7" s="24"/>
      <c r="UWK7" s="24"/>
      <c r="UWL7" s="24"/>
      <c r="UWM7" s="24"/>
      <c r="UWN7" s="24"/>
      <c r="UWO7" s="24"/>
      <c r="UWP7" s="24"/>
      <c r="UWQ7" s="24"/>
      <c r="UWR7" s="24"/>
      <c r="UWS7" s="24"/>
      <c r="UWT7" s="24"/>
      <c r="UWU7" s="24"/>
      <c r="UWV7" s="24"/>
      <c r="UWW7" s="24"/>
      <c r="UWX7" s="24"/>
      <c r="UWY7" s="24"/>
      <c r="UWZ7" s="24"/>
      <c r="UXA7" s="24"/>
      <c r="UXB7" s="24"/>
      <c r="UXC7" s="24"/>
      <c r="UXD7" s="24"/>
      <c r="UXE7" s="24"/>
      <c r="UXF7" s="24"/>
      <c r="UXG7" s="24"/>
      <c r="UXH7" s="24"/>
      <c r="UXI7" s="24"/>
      <c r="UXJ7" s="24"/>
      <c r="UXK7" s="24"/>
      <c r="UXL7" s="24"/>
      <c r="UXM7" s="24"/>
      <c r="UXN7" s="24"/>
      <c r="UXO7" s="24"/>
      <c r="UXP7" s="24"/>
      <c r="UXQ7" s="24"/>
      <c r="UXR7" s="24"/>
      <c r="UXS7" s="24"/>
      <c r="UXT7" s="24"/>
      <c r="UXU7" s="24"/>
      <c r="UXV7" s="24"/>
      <c r="UXW7" s="24"/>
      <c r="UXX7" s="24"/>
      <c r="UXY7" s="24"/>
      <c r="UXZ7" s="24"/>
      <c r="UYA7" s="24"/>
      <c r="UYB7" s="24"/>
      <c r="UYC7" s="24"/>
      <c r="UYD7" s="24"/>
      <c r="UYE7" s="24"/>
      <c r="UYF7" s="24"/>
      <c r="UYG7" s="24"/>
      <c r="UYH7" s="24"/>
      <c r="UYI7" s="24"/>
      <c r="UYJ7" s="24"/>
      <c r="UYK7" s="24"/>
      <c r="UYL7" s="24"/>
      <c r="UYM7" s="24"/>
      <c r="UYN7" s="24"/>
      <c r="UYO7" s="24"/>
      <c r="UYP7" s="24"/>
      <c r="UYQ7" s="24"/>
      <c r="UYR7" s="24"/>
      <c r="UYS7" s="24"/>
      <c r="UYT7" s="24"/>
      <c r="UYU7" s="24"/>
      <c r="UYV7" s="24"/>
      <c r="UYW7" s="24"/>
      <c r="UYX7" s="24"/>
      <c r="UYY7" s="24"/>
      <c r="UYZ7" s="24"/>
      <c r="UZA7" s="24"/>
      <c r="UZB7" s="24"/>
      <c r="UZC7" s="24"/>
      <c r="UZD7" s="24"/>
      <c r="UZE7" s="24"/>
      <c r="UZF7" s="24"/>
      <c r="UZG7" s="24"/>
      <c r="UZH7" s="24"/>
      <c r="UZI7" s="24"/>
      <c r="UZJ7" s="24"/>
      <c r="UZK7" s="24"/>
      <c r="UZL7" s="24"/>
      <c r="UZM7" s="24"/>
      <c r="UZN7" s="24"/>
      <c r="UZO7" s="24"/>
      <c r="UZP7" s="24"/>
      <c r="UZQ7" s="24"/>
      <c r="UZR7" s="24"/>
      <c r="UZS7" s="24"/>
      <c r="UZT7" s="24"/>
      <c r="UZU7" s="24"/>
      <c r="UZV7" s="24"/>
      <c r="UZW7" s="24"/>
      <c r="UZX7" s="24"/>
      <c r="UZY7" s="24"/>
      <c r="UZZ7" s="24"/>
      <c r="VAA7" s="24"/>
      <c r="VAB7" s="24"/>
      <c r="VAC7" s="24"/>
      <c r="VAD7" s="24"/>
      <c r="VAE7" s="24"/>
      <c r="VAF7" s="24"/>
      <c r="VAG7" s="24"/>
      <c r="VAH7" s="24"/>
      <c r="VAI7" s="24"/>
      <c r="VAJ7" s="24"/>
      <c r="VAK7" s="24"/>
      <c r="VAL7" s="24"/>
      <c r="VAM7" s="24"/>
      <c r="VAN7" s="24"/>
      <c r="VAO7" s="24"/>
      <c r="VAP7" s="24"/>
      <c r="VAQ7" s="24"/>
      <c r="VAR7" s="24"/>
      <c r="VAS7" s="24"/>
      <c r="VAT7" s="24"/>
      <c r="VAU7" s="24"/>
      <c r="VAV7" s="24"/>
      <c r="VAW7" s="24"/>
      <c r="VAX7" s="24"/>
      <c r="VAY7" s="24"/>
      <c r="VAZ7" s="24"/>
      <c r="VBA7" s="24"/>
      <c r="VBB7" s="24"/>
      <c r="VBC7" s="24"/>
      <c r="VBD7" s="24"/>
      <c r="VBE7" s="24"/>
      <c r="VBF7" s="24"/>
      <c r="VBG7" s="24"/>
      <c r="VBH7" s="24"/>
      <c r="VBI7" s="24"/>
      <c r="VBJ7" s="24"/>
      <c r="VBK7" s="24"/>
      <c r="VBL7" s="24"/>
      <c r="VBM7" s="24"/>
      <c r="VBN7" s="24"/>
      <c r="VBO7" s="24"/>
      <c r="VBP7" s="24"/>
      <c r="VBQ7" s="24"/>
      <c r="VBR7" s="24"/>
      <c r="VBS7" s="24"/>
      <c r="VBT7" s="24"/>
      <c r="VBU7" s="24"/>
      <c r="VBV7" s="24"/>
      <c r="VBW7" s="24"/>
      <c r="VBX7" s="24"/>
      <c r="VBY7" s="24"/>
      <c r="VBZ7" s="24"/>
      <c r="VCA7" s="24"/>
      <c r="VCB7" s="24"/>
      <c r="VCC7" s="24"/>
      <c r="VCD7" s="24"/>
      <c r="VCE7" s="24"/>
      <c r="VCF7" s="24"/>
      <c r="VCG7" s="24"/>
      <c r="VCH7" s="24"/>
      <c r="VCI7" s="24"/>
      <c r="VCJ7" s="24"/>
      <c r="VCK7" s="24"/>
      <c r="VCL7" s="24"/>
      <c r="VCM7" s="24"/>
      <c r="VCN7" s="24"/>
      <c r="VCO7" s="24"/>
      <c r="VCP7" s="24"/>
      <c r="VCQ7" s="24"/>
      <c r="VCR7" s="24"/>
      <c r="VCS7" s="24"/>
      <c r="VCT7" s="24"/>
      <c r="VCU7" s="24"/>
      <c r="VCV7" s="24"/>
      <c r="VCW7" s="24"/>
      <c r="VCX7" s="24"/>
      <c r="VCY7" s="24"/>
      <c r="VCZ7" s="24"/>
      <c r="VDA7" s="24"/>
      <c r="VDB7" s="24"/>
      <c r="VDC7" s="24"/>
      <c r="VDD7" s="24"/>
      <c r="VDE7" s="24"/>
      <c r="VDF7" s="24"/>
      <c r="VDG7" s="24"/>
      <c r="VDH7" s="24"/>
      <c r="VDI7" s="24"/>
      <c r="VDJ7" s="24"/>
      <c r="VDK7" s="24"/>
      <c r="VDL7" s="24"/>
      <c r="VDM7" s="24"/>
      <c r="VDN7" s="24"/>
      <c r="VDO7" s="24"/>
      <c r="VDP7" s="24"/>
      <c r="VDQ7" s="24"/>
      <c r="VDR7" s="24"/>
      <c r="VDS7" s="24"/>
      <c r="VDT7" s="24"/>
      <c r="VDU7" s="24"/>
      <c r="VDV7" s="24"/>
      <c r="VDW7" s="24"/>
      <c r="VDX7" s="24"/>
      <c r="VDY7" s="24"/>
      <c r="VDZ7" s="24"/>
      <c r="VEA7" s="24"/>
      <c r="VEB7" s="24"/>
      <c r="VEC7" s="24"/>
      <c r="VED7" s="24"/>
      <c r="VEE7" s="24"/>
      <c r="VEF7" s="24"/>
      <c r="VEG7" s="24"/>
      <c r="VEH7" s="24"/>
      <c r="VEI7" s="24"/>
      <c r="VEJ7" s="24"/>
      <c r="VEK7" s="24"/>
      <c r="VEL7" s="24"/>
      <c r="VEM7" s="24"/>
      <c r="VEN7" s="24"/>
      <c r="VEO7" s="24"/>
      <c r="VEP7" s="24"/>
      <c r="VEQ7" s="24"/>
      <c r="VER7" s="24"/>
      <c r="VES7" s="24"/>
      <c r="VET7" s="24"/>
      <c r="VEU7" s="24"/>
      <c r="VEV7" s="24"/>
      <c r="VEW7" s="24"/>
      <c r="VEX7" s="24"/>
      <c r="VEY7" s="24"/>
      <c r="VEZ7" s="24"/>
      <c r="VFA7" s="24"/>
      <c r="VFB7" s="24"/>
      <c r="VFC7" s="24"/>
      <c r="VFD7" s="24"/>
      <c r="VFE7" s="24"/>
      <c r="VFF7" s="24"/>
      <c r="VFG7" s="24"/>
      <c r="VFH7" s="24"/>
      <c r="VFI7" s="24"/>
      <c r="VFJ7" s="24"/>
      <c r="VFK7" s="24"/>
      <c r="VFL7" s="24"/>
      <c r="VFM7" s="24"/>
      <c r="VFN7" s="24"/>
      <c r="VFO7" s="24"/>
      <c r="VFP7" s="24"/>
      <c r="VFQ7" s="24"/>
      <c r="VFR7" s="24"/>
      <c r="VFS7" s="24"/>
      <c r="VFT7" s="24"/>
      <c r="VFU7" s="24"/>
      <c r="VFV7" s="24"/>
      <c r="VFW7" s="24"/>
      <c r="VFX7" s="24"/>
      <c r="VFY7" s="24"/>
      <c r="VFZ7" s="24"/>
      <c r="VGA7" s="24"/>
      <c r="VGB7" s="24"/>
      <c r="VGC7" s="24"/>
      <c r="VGD7" s="24"/>
      <c r="VGE7" s="24"/>
      <c r="VGF7" s="24"/>
      <c r="VGG7" s="24"/>
      <c r="VGH7" s="24"/>
      <c r="VGI7" s="24"/>
      <c r="VGJ7" s="24"/>
      <c r="VGK7" s="24"/>
      <c r="VGL7" s="24"/>
      <c r="VGM7" s="24"/>
      <c r="VGN7" s="24"/>
      <c r="VGO7" s="24"/>
      <c r="VGP7" s="24"/>
      <c r="VGQ7" s="24"/>
      <c r="VGR7" s="24"/>
      <c r="VGS7" s="24"/>
      <c r="VGT7" s="24"/>
      <c r="VGU7" s="24"/>
      <c r="VGV7" s="24"/>
      <c r="VGW7" s="24"/>
      <c r="VGX7" s="24"/>
      <c r="VGY7" s="24"/>
      <c r="VGZ7" s="24"/>
      <c r="VHA7" s="24"/>
      <c r="VHB7" s="24"/>
      <c r="VHC7" s="24"/>
      <c r="VHD7" s="24"/>
      <c r="VHE7" s="24"/>
      <c r="VHF7" s="24"/>
      <c r="VHG7" s="24"/>
      <c r="VHH7" s="24"/>
      <c r="VHI7" s="24"/>
      <c r="VHJ7" s="24"/>
      <c r="VHK7" s="24"/>
      <c r="VHL7" s="24"/>
      <c r="VHM7" s="24"/>
      <c r="VHN7" s="24"/>
      <c r="VHO7" s="24"/>
      <c r="VHP7" s="24"/>
      <c r="VHQ7" s="24"/>
      <c r="VHR7" s="24"/>
      <c r="VHS7" s="24"/>
      <c r="VHT7" s="24"/>
      <c r="VHU7" s="24"/>
      <c r="VHV7" s="24"/>
      <c r="VHW7" s="24"/>
      <c r="VHX7" s="24"/>
      <c r="VHY7" s="24"/>
      <c r="VHZ7" s="24"/>
      <c r="VIA7" s="24"/>
      <c r="VIB7" s="24"/>
      <c r="VIC7" s="24"/>
      <c r="VID7" s="24"/>
      <c r="VIE7" s="24"/>
      <c r="VIF7" s="24"/>
      <c r="VIG7" s="24"/>
      <c r="VIH7" s="24"/>
      <c r="VII7" s="24"/>
      <c r="VIJ7" s="24"/>
      <c r="VIK7" s="24"/>
      <c r="VIL7" s="24"/>
      <c r="VIM7" s="24"/>
      <c r="VIN7" s="24"/>
      <c r="VIO7" s="24"/>
      <c r="VIP7" s="24"/>
      <c r="VIQ7" s="24"/>
      <c r="VIR7" s="24"/>
      <c r="VIS7" s="24"/>
      <c r="VIT7" s="24"/>
      <c r="VIU7" s="24"/>
      <c r="VIV7" s="24"/>
      <c r="VIW7" s="24"/>
      <c r="VIX7" s="24"/>
      <c r="VIY7" s="24"/>
      <c r="VIZ7" s="24"/>
      <c r="VJA7" s="24"/>
      <c r="VJB7" s="24"/>
      <c r="VJC7" s="24"/>
      <c r="VJD7" s="24"/>
      <c r="VJE7" s="24"/>
      <c r="VJF7" s="24"/>
      <c r="VJG7" s="24"/>
      <c r="VJH7" s="24"/>
      <c r="VJI7" s="24"/>
      <c r="VJJ7" s="24"/>
      <c r="VJK7" s="24"/>
      <c r="VJL7" s="24"/>
      <c r="VJM7" s="24"/>
      <c r="VJN7" s="24"/>
      <c r="VJO7" s="24"/>
      <c r="VJP7" s="24"/>
      <c r="VJQ7" s="24"/>
      <c r="VJR7" s="24"/>
      <c r="VJS7" s="24"/>
      <c r="VJT7" s="24"/>
      <c r="VJU7" s="24"/>
      <c r="VJV7" s="24"/>
      <c r="VJW7" s="24"/>
      <c r="VJX7" s="24"/>
      <c r="VJY7" s="24"/>
      <c r="VJZ7" s="24"/>
      <c r="VKA7" s="24"/>
      <c r="VKB7" s="24"/>
      <c r="VKC7" s="24"/>
      <c r="VKD7" s="24"/>
      <c r="VKE7" s="24"/>
      <c r="VKF7" s="24"/>
      <c r="VKG7" s="24"/>
      <c r="VKH7" s="24"/>
      <c r="VKI7" s="24"/>
      <c r="VKJ7" s="24"/>
      <c r="VKK7" s="24"/>
      <c r="VKL7" s="24"/>
      <c r="VKM7" s="24"/>
      <c r="VKN7" s="24"/>
      <c r="VKO7" s="24"/>
      <c r="VKP7" s="24"/>
      <c r="VKQ7" s="24"/>
      <c r="VKR7" s="24"/>
      <c r="VKS7" s="24"/>
      <c r="VKT7" s="24"/>
      <c r="VKU7" s="24"/>
      <c r="VKV7" s="24"/>
      <c r="VKW7" s="24"/>
      <c r="VKX7" s="24"/>
      <c r="VKY7" s="24"/>
      <c r="VKZ7" s="24"/>
      <c r="VLA7" s="24"/>
      <c r="VLB7" s="24"/>
      <c r="VLC7" s="24"/>
      <c r="VLD7" s="24"/>
      <c r="VLE7" s="24"/>
      <c r="VLF7" s="24"/>
      <c r="VLG7" s="24"/>
      <c r="VLH7" s="24"/>
      <c r="VLI7" s="24"/>
      <c r="VLJ7" s="24"/>
      <c r="VLK7" s="24"/>
      <c r="VLL7" s="24"/>
      <c r="VLM7" s="24"/>
      <c r="VLN7" s="24"/>
      <c r="VLO7" s="24"/>
      <c r="VLP7" s="24"/>
      <c r="VLQ7" s="24"/>
      <c r="VLR7" s="24"/>
      <c r="VLS7" s="24"/>
      <c r="VLT7" s="24"/>
      <c r="VLU7" s="24"/>
      <c r="VLV7" s="24"/>
      <c r="VLW7" s="24"/>
      <c r="VLX7" s="24"/>
      <c r="VLY7" s="24"/>
      <c r="VLZ7" s="24"/>
      <c r="VMA7" s="24"/>
      <c r="VMB7" s="24"/>
      <c r="VMC7" s="24"/>
      <c r="VMD7" s="24"/>
      <c r="VME7" s="24"/>
      <c r="VMF7" s="24"/>
      <c r="VMG7" s="24"/>
      <c r="VMH7" s="24"/>
      <c r="VMI7" s="24"/>
      <c r="VMJ7" s="24"/>
      <c r="VMK7" s="24"/>
      <c r="VML7" s="24"/>
      <c r="VMM7" s="24"/>
      <c r="VMN7" s="24"/>
      <c r="VMO7" s="24"/>
      <c r="VMP7" s="24"/>
      <c r="VMQ7" s="24"/>
      <c r="VMR7" s="24"/>
      <c r="VMS7" s="24"/>
      <c r="VMT7" s="24"/>
      <c r="VMU7" s="24"/>
      <c r="VMV7" s="24"/>
      <c r="VMW7" s="24"/>
      <c r="VMX7" s="24"/>
      <c r="VMY7" s="24"/>
      <c r="VMZ7" s="24"/>
      <c r="VNA7" s="24"/>
      <c r="VNB7" s="24"/>
      <c r="VNC7" s="24"/>
      <c r="VND7" s="24"/>
      <c r="VNE7" s="24"/>
      <c r="VNF7" s="24"/>
      <c r="VNG7" s="24"/>
      <c r="VNH7" s="24"/>
      <c r="VNI7" s="24"/>
      <c r="VNJ7" s="24"/>
      <c r="VNK7" s="24"/>
      <c r="VNL7" s="24"/>
      <c r="VNM7" s="24"/>
      <c r="VNN7" s="24"/>
      <c r="VNO7" s="24"/>
      <c r="VNP7" s="24"/>
      <c r="VNQ7" s="24"/>
      <c r="VNR7" s="24"/>
      <c r="VNS7" s="24"/>
      <c r="VNT7" s="24"/>
      <c r="VNU7" s="24"/>
      <c r="VNV7" s="24"/>
      <c r="VNW7" s="24"/>
      <c r="VNX7" s="24"/>
      <c r="VNY7" s="24"/>
      <c r="VNZ7" s="24"/>
      <c r="VOA7" s="24"/>
      <c r="VOB7" s="24"/>
      <c r="VOC7" s="24"/>
      <c r="VOD7" s="24"/>
      <c r="VOE7" s="24"/>
      <c r="VOF7" s="24"/>
      <c r="VOG7" s="24"/>
      <c r="VOH7" s="24"/>
      <c r="VOI7" s="24"/>
      <c r="VOJ7" s="24"/>
      <c r="VOK7" s="24"/>
      <c r="VOL7" s="24"/>
      <c r="VOM7" s="24"/>
      <c r="VON7" s="24"/>
      <c r="VOO7" s="24"/>
      <c r="VOP7" s="24"/>
      <c r="VOQ7" s="24"/>
      <c r="VOR7" s="24"/>
      <c r="VOS7" s="24"/>
      <c r="VOT7" s="24"/>
      <c r="VOU7" s="24"/>
      <c r="VOV7" s="24"/>
      <c r="VOW7" s="24"/>
      <c r="VOX7" s="24"/>
      <c r="VOY7" s="24"/>
      <c r="VOZ7" s="24"/>
      <c r="VPA7" s="24"/>
      <c r="VPB7" s="24"/>
      <c r="VPC7" s="24"/>
      <c r="VPD7" s="24"/>
      <c r="VPE7" s="24"/>
      <c r="VPF7" s="24"/>
      <c r="VPG7" s="24"/>
      <c r="VPH7" s="24"/>
      <c r="VPI7" s="24"/>
      <c r="VPJ7" s="24"/>
      <c r="VPK7" s="24"/>
      <c r="VPL7" s="24"/>
      <c r="VPM7" s="24"/>
      <c r="VPN7" s="24"/>
      <c r="VPO7" s="24"/>
      <c r="VPP7" s="24"/>
      <c r="VPQ7" s="24"/>
      <c r="VPR7" s="24"/>
      <c r="VPS7" s="24"/>
      <c r="VPT7" s="24"/>
      <c r="VPU7" s="24"/>
      <c r="VPV7" s="24"/>
      <c r="VPW7" s="24"/>
      <c r="VPX7" s="24"/>
      <c r="VPY7" s="24"/>
      <c r="VPZ7" s="24"/>
      <c r="VQA7" s="24"/>
      <c r="VQB7" s="24"/>
      <c r="VQC7" s="24"/>
      <c r="VQD7" s="24"/>
      <c r="VQE7" s="24"/>
      <c r="VQF7" s="24"/>
      <c r="VQG7" s="24"/>
      <c r="VQH7" s="24"/>
      <c r="VQI7" s="24"/>
      <c r="VQJ7" s="24"/>
      <c r="VQK7" s="24"/>
      <c r="VQL7" s="24"/>
      <c r="VQM7" s="24"/>
      <c r="VQN7" s="24"/>
      <c r="VQO7" s="24"/>
      <c r="VQP7" s="24"/>
      <c r="VQQ7" s="24"/>
      <c r="VQR7" s="24"/>
      <c r="VQS7" s="24"/>
      <c r="VQT7" s="24"/>
      <c r="VQU7" s="24"/>
      <c r="VQV7" s="24"/>
      <c r="VQW7" s="24"/>
      <c r="VQX7" s="24"/>
      <c r="VQY7" s="24"/>
      <c r="VQZ7" s="24"/>
      <c r="VRA7" s="24"/>
      <c r="VRB7" s="24"/>
      <c r="VRC7" s="24"/>
      <c r="VRD7" s="24"/>
      <c r="VRE7" s="24"/>
      <c r="VRF7" s="24"/>
      <c r="VRG7" s="24"/>
      <c r="VRH7" s="24"/>
      <c r="VRI7" s="24"/>
      <c r="VRJ7" s="24"/>
      <c r="VRK7" s="24"/>
      <c r="VRL7" s="24"/>
      <c r="VRM7" s="24"/>
      <c r="VRN7" s="24"/>
      <c r="VRO7" s="24"/>
      <c r="VRP7" s="24"/>
      <c r="VRQ7" s="24"/>
      <c r="VRR7" s="24"/>
      <c r="VRS7" s="24"/>
      <c r="VRT7" s="24"/>
      <c r="VRU7" s="24"/>
      <c r="VRV7" s="24"/>
      <c r="VRW7" s="24"/>
      <c r="VRX7" s="24"/>
      <c r="VRY7" s="24"/>
      <c r="VRZ7" s="24"/>
      <c r="VSA7" s="24"/>
      <c r="VSB7" s="24"/>
      <c r="VSC7" s="24"/>
      <c r="VSD7" s="24"/>
      <c r="VSE7" s="24"/>
      <c r="VSF7" s="24"/>
      <c r="VSG7" s="24"/>
      <c r="VSH7" s="24"/>
      <c r="VSI7" s="24"/>
      <c r="VSJ7" s="24"/>
      <c r="VSK7" s="24"/>
      <c r="VSL7" s="24"/>
      <c r="VSM7" s="24"/>
      <c r="VSN7" s="24"/>
      <c r="VSO7" s="24"/>
      <c r="VSP7" s="24"/>
      <c r="VSQ7" s="24"/>
      <c r="VSR7" s="24"/>
      <c r="VSS7" s="24"/>
      <c r="VST7" s="24"/>
      <c r="VSU7" s="24"/>
      <c r="VSV7" s="24"/>
      <c r="VSW7" s="24"/>
      <c r="VSX7" s="24"/>
      <c r="VSY7" s="24"/>
      <c r="VSZ7" s="24"/>
      <c r="VTA7" s="24"/>
      <c r="VTB7" s="24"/>
      <c r="VTC7" s="24"/>
      <c r="VTD7" s="24"/>
      <c r="VTE7" s="24"/>
      <c r="VTF7" s="24"/>
      <c r="VTG7" s="24"/>
      <c r="VTH7" s="24"/>
      <c r="VTI7" s="24"/>
      <c r="VTJ7" s="24"/>
      <c r="VTK7" s="24"/>
      <c r="VTL7" s="24"/>
      <c r="VTM7" s="24"/>
      <c r="VTN7" s="24"/>
      <c r="VTO7" s="24"/>
      <c r="VTP7" s="24"/>
      <c r="VTQ7" s="24"/>
      <c r="VTR7" s="24"/>
      <c r="VTS7" s="24"/>
      <c r="VTT7" s="24"/>
      <c r="VTU7" s="24"/>
      <c r="VTV7" s="24"/>
      <c r="VTW7" s="24"/>
      <c r="VTX7" s="24"/>
      <c r="VTY7" s="24"/>
      <c r="VTZ7" s="24"/>
      <c r="VUA7" s="24"/>
      <c r="VUB7" s="24"/>
      <c r="VUC7" s="24"/>
      <c r="VUD7" s="24"/>
      <c r="VUE7" s="24"/>
      <c r="VUF7" s="24"/>
      <c r="VUG7" s="24"/>
      <c r="VUH7" s="24"/>
      <c r="VUI7" s="24"/>
      <c r="VUJ7" s="24"/>
      <c r="VUK7" s="24"/>
      <c r="VUL7" s="24"/>
      <c r="VUM7" s="24"/>
      <c r="VUN7" s="24"/>
      <c r="VUO7" s="24"/>
      <c r="VUP7" s="24"/>
      <c r="VUQ7" s="24"/>
      <c r="VUR7" s="24"/>
      <c r="VUS7" s="24"/>
      <c r="VUT7" s="24"/>
      <c r="VUU7" s="24"/>
      <c r="VUV7" s="24"/>
      <c r="VUW7" s="24"/>
      <c r="VUX7" s="24"/>
      <c r="VUY7" s="24"/>
      <c r="VUZ7" s="24"/>
      <c r="VVA7" s="24"/>
      <c r="VVB7" s="24"/>
      <c r="VVC7" s="24"/>
      <c r="VVD7" s="24"/>
      <c r="VVE7" s="24"/>
      <c r="VVF7" s="24"/>
      <c r="VVG7" s="24"/>
      <c r="VVH7" s="24"/>
      <c r="VVI7" s="24"/>
      <c r="VVJ7" s="24"/>
      <c r="VVK7" s="24"/>
      <c r="VVL7" s="24"/>
      <c r="VVM7" s="24"/>
      <c r="VVN7" s="24"/>
      <c r="VVO7" s="24"/>
      <c r="VVP7" s="24"/>
      <c r="VVQ7" s="24"/>
      <c r="VVR7" s="24"/>
      <c r="VVS7" s="24"/>
      <c r="VVT7" s="24"/>
      <c r="VVU7" s="24"/>
      <c r="VVV7" s="24"/>
      <c r="VVW7" s="24"/>
      <c r="VVX7" s="24"/>
      <c r="VVY7" s="24"/>
      <c r="VVZ7" s="24"/>
      <c r="VWA7" s="24"/>
      <c r="VWB7" s="24"/>
      <c r="VWC7" s="24"/>
      <c r="VWD7" s="24"/>
      <c r="VWE7" s="24"/>
      <c r="VWF7" s="24"/>
      <c r="VWG7" s="24"/>
      <c r="VWH7" s="24"/>
      <c r="VWI7" s="24"/>
      <c r="VWJ7" s="24"/>
      <c r="VWK7" s="24"/>
      <c r="VWL7" s="24"/>
      <c r="VWM7" s="24"/>
      <c r="VWN7" s="24"/>
      <c r="VWO7" s="24"/>
      <c r="VWP7" s="24"/>
      <c r="VWQ7" s="24"/>
      <c r="VWR7" s="24"/>
      <c r="VWS7" s="24"/>
      <c r="VWT7" s="24"/>
      <c r="VWU7" s="24"/>
      <c r="VWV7" s="24"/>
      <c r="VWW7" s="24"/>
      <c r="VWX7" s="24"/>
      <c r="VWY7" s="24"/>
      <c r="VWZ7" s="24"/>
      <c r="VXA7" s="24"/>
      <c r="VXB7" s="24"/>
      <c r="VXC7" s="24"/>
      <c r="VXD7" s="24"/>
      <c r="VXE7" s="24"/>
      <c r="VXF7" s="24"/>
      <c r="VXG7" s="24"/>
      <c r="VXH7" s="24"/>
      <c r="VXI7" s="24"/>
      <c r="VXJ7" s="24"/>
      <c r="VXK7" s="24"/>
      <c r="VXL7" s="24"/>
      <c r="VXM7" s="24"/>
      <c r="VXN7" s="24"/>
      <c r="VXO7" s="24"/>
      <c r="VXP7" s="24"/>
      <c r="VXQ7" s="24"/>
      <c r="VXR7" s="24"/>
      <c r="VXS7" s="24"/>
      <c r="VXT7" s="24"/>
      <c r="VXU7" s="24"/>
      <c r="VXV7" s="24"/>
      <c r="VXW7" s="24"/>
      <c r="VXX7" s="24"/>
      <c r="VXY7" s="24"/>
      <c r="VXZ7" s="24"/>
      <c r="VYA7" s="24"/>
      <c r="VYB7" s="24"/>
      <c r="VYC7" s="24"/>
      <c r="VYD7" s="24"/>
      <c r="VYE7" s="24"/>
      <c r="VYF7" s="24"/>
      <c r="VYG7" s="24"/>
      <c r="VYH7" s="24"/>
      <c r="VYI7" s="24"/>
      <c r="VYJ7" s="24"/>
      <c r="VYK7" s="24"/>
      <c r="VYL7" s="24"/>
      <c r="VYM7" s="24"/>
      <c r="VYN7" s="24"/>
      <c r="VYO7" s="24"/>
      <c r="VYP7" s="24"/>
      <c r="VYQ7" s="24"/>
      <c r="VYR7" s="24"/>
      <c r="VYS7" s="24"/>
      <c r="VYT7" s="24"/>
      <c r="VYU7" s="24"/>
      <c r="VYV7" s="24"/>
      <c r="VYW7" s="24"/>
      <c r="VYX7" s="24"/>
      <c r="VYY7" s="24"/>
      <c r="VYZ7" s="24"/>
      <c r="VZA7" s="24"/>
      <c r="VZB7" s="24"/>
      <c r="VZC7" s="24"/>
      <c r="VZD7" s="24"/>
      <c r="VZE7" s="24"/>
      <c r="VZF7" s="24"/>
      <c r="VZG7" s="24"/>
      <c r="VZH7" s="24"/>
      <c r="VZI7" s="24"/>
      <c r="VZJ7" s="24"/>
      <c r="VZK7" s="24"/>
      <c r="VZL7" s="24"/>
      <c r="VZM7" s="24"/>
      <c r="VZN7" s="24"/>
      <c r="VZO7" s="24"/>
      <c r="VZP7" s="24"/>
      <c r="VZQ7" s="24"/>
      <c r="VZR7" s="24"/>
      <c r="VZS7" s="24"/>
      <c r="VZT7" s="24"/>
      <c r="VZU7" s="24"/>
      <c r="VZV7" s="24"/>
      <c r="VZW7" s="24"/>
      <c r="VZX7" s="24"/>
      <c r="VZY7" s="24"/>
      <c r="VZZ7" s="24"/>
      <c r="WAA7" s="24"/>
      <c r="WAB7" s="24"/>
      <c r="WAC7" s="24"/>
      <c r="WAD7" s="24"/>
      <c r="WAE7" s="24"/>
      <c r="WAF7" s="24"/>
      <c r="WAG7" s="24"/>
      <c r="WAH7" s="24"/>
      <c r="WAI7" s="24"/>
      <c r="WAJ7" s="24"/>
      <c r="WAK7" s="24"/>
      <c r="WAL7" s="24"/>
      <c r="WAM7" s="24"/>
      <c r="WAN7" s="24"/>
      <c r="WAO7" s="24"/>
      <c r="WAP7" s="24"/>
      <c r="WAQ7" s="24"/>
      <c r="WAR7" s="24"/>
      <c r="WAS7" s="24"/>
      <c r="WAT7" s="24"/>
      <c r="WAU7" s="24"/>
      <c r="WAV7" s="24"/>
      <c r="WAW7" s="24"/>
      <c r="WAX7" s="24"/>
      <c r="WAY7" s="24"/>
      <c r="WAZ7" s="24"/>
      <c r="WBA7" s="24"/>
      <c r="WBB7" s="24"/>
      <c r="WBC7" s="24"/>
      <c r="WBD7" s="24"/>
      <c r="WBE7" s="24"/>
      <c r="WBF7" s="24"/>
      <c r="WBG7" s="24"/>
      <c r="WBH7" s="24"/>
      <c r="WBI7" s="24"/>
      <c r="WBJ7" s="24"/>
      <c r="WBK7" s="24"/>
      <c r="WBL7" s="24"/>
      <c r="WBM7" s="24"/>
      <c r="WBN7" s="24"/>
      <c r="WBO7" s="24"/>
      <c r="WBP7" s="24"/>
      <c r="WBQ7" s="24"/>
      <c r="WBR7" s="24"/>
      <c r="WBS7" s="24"/>
      <c r="WBT7" s="24"/>
      <c r="WBU7" s="24"/>
      <c r="WBV7" s="24"/>
      <c r="WBW7" s="24"/>
      <c r="WBX7" s="24"/>
      <c r="WBY7" s="24"/>
      <c r="WBZ7" s="24"/>
      <c r="WCA7" s="24"/>
      <c r="WCB7" s="24"/>
      <c r="WCC7" s="24"/>
      <c r="WCD7" s="24"/>
      <c r="WCE7" s="24"/>
      <c r="WCF7" s="24"/>
      <c r="WCG7" s="24"/>
      <c r="WCH7" s="24"/>
      <c r="WCI7" s="24"/>
      <c r="WCJ7" s="24"/>
      <c r="WCK7" s="24"/>
      <c r="WCL7" s="24"/>
      <c r="WCM7" s="24"/>
      <c r="WCN7" s="24"/>
      <c r="WCO7" s="24"/>
      <c r="WCP7" s="24"/>
      <c r="WCQ7" s="24"/>
      <c r="WCR7" s="24"/>
      <c r="WCS7" s="24"/>
      <c r="WCT7" s="24"/>
      <c r="WCU7" s="24"/>
      <c r="WCV7" s="24"/>
      <c r="WCW7" s="24"/>
      <c r="WCX7" s="24"/>
      <c r="WCY7" s="24"/>
      <c r="WCZ7" s="24"/>
      <c r="WDA7" s="24"/>
      <c r="WDB7" s="24"/>
      <c r="WDC7" s="24"/>
      <c r="WDD7" s="24"/>
      <c r="WDE7" s="24"/>
      <c r="WDF7" s="24"/>
      <c r="WDG7" s="24"/>
      <c r="WDH7" s="24"/>
      <c r="WDI7" s="24"/>
      <c r="WDJ7" s="24"/>
      <c r="WDK7" s="24"/>
      <c r="WDL7" s="24"/>
      <c r="WDM7" s="24"/>
      <c r="WDN7" s="24"/>
      <c r="WDO7" s="24"/>
      <c r="WDP7" s="24"/>
      <c r="WDQ7" s="24"/>
      <c r="WDR7" s="24"/>
      <c r="WDS7" s="24"/>
      <c r="WDT7" s="24"/>
      <c r="WDU7" s="24"/>
      <c r="WDV7" s="24"/>
      <c r="WDW7" s="24"/>
      <c r="WDX7" s="24"/>
      <c r="WDY7" s="24"/>
      <c r="WDZ7" s="24"/>
      <c r="WEA7" s="24"/>
      <c r="WEB7" s="24"/>
      <c r="WEC7" s="24"/>
      <c r="WED7" s="24"/>
      <c r="WEE7" s="24"/>
      <c r="WEF7" s="24"/>
      <c r="WEG7" s="24"/>
      <c r="WEH7" s="24"/>
      <c r="WEI7" s="24"/>
      <c r="WEJ7" s="24"/>
      <c r="WEK7" s="24"/>
      <c r="WEL7" s="24"/>
      <c r="WEM7" s="24"/>
      <c r="WEN7" s="24"/>
      <c r="WEO7" s="24"/>
      <c r="WEP7" s="24"/>
      <c r="WEQ7" s="24"/>
      <c r="WER7" s="24"/>
      <c r="WES7" s="24"/>
      <c r="WET7" s="24"/>
      <c r="WEU7" s="24"/>
      <c r="WEV7" s="24"/>
      <c r="WEW7" s="24"/>
      <c r="WEX7" s="24"/>
      <c r="WEY7" s="24"/>
      <c r="WEZ7" s="24"/>
      <c r="WFA7" s="24"/>
      <c r="WFB7" s="24"/>
      <c r="WFC7" s="24"/>
      <c r="WFD7" s="24"/>
      <c r="WFE7" s="24"/>
      <c r="WFF7" s="24"/>
      <c r="WFG7" s="24"/>
      <c r="WFH7" s="24"/>
      <c r="WFI7" s="24"/>
      <c r="WFJ7" s="24"/>
      <c r="WFK7" s="24"/>
      <c r="WFL7" s="24"/>
      <c r="WFM7" s="24"/>
      <c r="WFN7" s="24"/>
      <c r="WFO7" s="24"/>
      <c r="WFP7" s="24"/>
      <c r="WFQ7" s="24"/>
      <c r="WFR7" s="24"/>
      <c r="WFS7" s="24"/>
      <c r="WFT7" s="24"/>
      <c r="WFU7" s="24"/>
      <c r="WFV7" s="24"/>
      <c r="WFW7" s="24"/>
      <c r="WFX7" s="24"/>
      <c r="WFY7" s="24"/>
      <c r="WFZ7" s="24"/>
      <c r="WGA7" s="24"/>
      <c r="WGB7" s="24"/>
      <c r="WGC7" s="24"/>
      <c r="WGD7" s="24"/>
      <c r="WGE7" s="24"/>
      <c r="WGF7" s="24"/>
      <c r="WGG7" s="24"/>
      <c r="WGH7" s="24"/>
      <c r="WGI7" s="24"/>
      <c r="WGJ7" s="24"/>
      <c r="WGK7" s="24"/>
      <c r="WGL7" s="24"/>
      <c r="WGM7" s="24"/>
      <c r="WGN7" s="24"/>
      <c r="WGO7" s="24"/>
      <c r="WGP7" s="24"/>
      <c r="WGQ7" s="24"/>
      <c r="WGR7" s="24"/>
      <c r="WGS7" s="24"/>
      <c r="WGT7" s="24"/>
      <c r="WGU7" s="24"/>
      <c r="WGV7" s="24"/>
      <c r="WGW7" s="24"/>
      <c r="WGX7" s="24"/>
      <c r="WGY7" s="24"/>
      <c r="WGZ7" s="24"/>
      <c r="WHA7" s="24"/>
      <c r="WHB7" s="24"/>
      <c r="WHC7" s="24"/>
      <c r="WHD7" s="24"/>
      <c r="WHE7" s="24"/>
      <c r="WHF7" s="24"/>
      <c r="WHG7" s="24"/>
      <c r="WHH7" s="24"/>
      <c r="WHI7" s="24"/>
      <c r="WHJ7" s="24"/>
      <c r="WHK7" s="24"/>
      <c r="WHL7" s="24"/>
      <c r="WHM7" s="24"/>
      <c r="WHN7" s="24"/>
      <c r="WHO7" s="24"/>
      <c r="WHP7" s="24"/>
      <c r="WHQ7" s="24"/>
      <c r="WHR7" s="24"/>
      <c r="WHS7" s="24"/>
      <c r="WHT7" s="24"/>
      <c r="WHU7" s="24"/>
      <c r="WHV7" s="24"/>
      <c r="WHW7" s="24"/>
      <c r="WHX7" s="24"/>
      <c r="WHY7" s="24"/>
      <c r="WHZ7" s="24"/>
      <c r="WIA7" s="24"/>
      <c r="WIB7" s="24"/>
      <c r="WIC7" s="24"/>
      <c r="WID7" s="24"/>
      <c r="WIE7" s="24"/>
      <c r="WIF7" s="24"/>
      <c r="WIG7" s="24"/>
      <c r="WIH7" s="24"/>
      <c r="WII7" s="24"/>
      <c r="WIJ7" s="24"/>
      <c r="WIK7" s="24"/>
      <c r="WIL7" s="24"/>
      <c r="WIM7" s="24"/>
      <c r="WIN7" s="24"/>
      <c r="WIO7" s="24"/>
      <c r="WIP7" s="24"/>
      <c r="WIQ7" s="24"/>
      <c r="WIR7" s="24"/>
      <c r="WIS7" s="24"/>
      <c r="WIT7" s="24"/>
      <c r="WIU7" s="24"/>
      <c r="WIV7" s="24"/>
      <c r="WIW7" s="24"/>
      <c r="WIX7" s="24"/>
      <c r="WIY7" s="24"/>
      <c r="WIZ7" s="24"/>
      <c r="WJA7" s="24"/>
      <c r="WJB7" s="24"/>
      <c r="WJC7" s="24"/>
      <c r="WJD7" s="24"/>
      <c r="WJE7" s="24"/>
      <c r="WJF7" s="24"/>
      <c r="WJG7" s="24"/>
      <c r="WJH7" s="24"/>
      <c r="WJI7" s="24"/>
      <c r="WJJ7" s="24"/>
      <c r="WJK7" s="24"/>
      <c r="WJL7" s="24"/>
      <c r="WJM7" s="24"/>
      <c r="WJN7" s="24"/>
      <c r="WJO7" s="24"/>
      <c r="WJP7" s="24"/>
      <c r="WJQ7" s="24"/>
      <c r="WJR7" s="24"/>
      <c r="WJS7" s="24"/>
      <c r="WJT7" s="24"/>
      <c r="WJU7" s="24"/>
      <c r="WJV7" s="24"/>
      <c r="WJW7" s="24"/>
      <c r="WJX7" s="24"/>
      <c r="WJY7" s="24"/>
      <c r="WJZ7" s="24"/>
      <c r="WKA7" s="24"/>
      <c r="WKB7" s="24"/>
      <c r="WKC7" s="24"/>
      <c r="WKD7" s="24"/>
      <c r="WKE7" s="24"/>
      <c r="WKF7" s="24"/>
      <c r="WKG7" s="24"/>
      <c r="WKH7" s="24"/>
      <c r="WKI7" s="24"/>
      <c r="WKJ7" s="24"/>
      <c r="WKK7" s="24"/>
      <c r="WKL7" s="24"/>
      <c r="WKM7" s="24"/>
      <c r="WKN7" s="24"/>
      <c r="WKO7" s="24"/>
      <c r="WKP7" s="24"/>
      <c r="WKQ7" s="24"/>
      <c r="WKR7" s="24"/>
      <c r="WKS7" s="24"/>
      <c r="WKT7" s="24"/>
      <c r="WKU7" s="24"/>
      <c r="WKV7" s="24"/>
      <c r="WKW7" s="24"/>
      <c r="WKX7" s="24"/>
      <c r="WKY7" s="24"/>
      <c r="WKZ7" s="24"/>
      <c r="WLA7" s="24"/>
      <c r="WLB7" s="24"/>
      <c r="WLC7" s="24"/>
      <c r="WLD7" s="24"/>
      <c r="WLE7" s="24"/>
      <c r="WLF7" s="24"/>
      <c r="WLG7" s="24"/>
      <c r="WLH7" s="24"/>
      <c r="WLI7" s="24"/>
      <c r="WLJ7" s="24"/>
      <c r="WLK7" s="24"/>
      <c r="WLL7" s="24"/>
      <c r="WLM7" s="24"/>
      <c r="WLN7" s="24"/>
      <c r="WLO7" s="24"/>
      <c r="WLP7" s="24"/>
      <c r="WLQ7" s="24"/>
      <c r="WLR7" s="24"/>
      <c r="WLS7" s="24"/>
      <c r="WLT7" s="24"/>
      <c r="WLU7" s="24"/>
      <c r="WLV7" s="24"/>
      <c r="WLW7" s="24"/>
      <c r="WLX7" s="24"/>
      <c r="WLY7" s="24"/>
      <c r="WLZ7" s="24"/>
      <c r="WMA7" s="24"/>
      <c r="WMB7" s="24"/>
      <c r="WMC7" s="24"/>
      <c r="WMD7" s="24"/>
      <c r="WME7" s="24"/>
      <c r="WMF7" s="24"/>
      <c r="WMG7" s="24"/>
      <c r="WMH7" s="24"/>
      <c r="WMI7" s="24"/>
      <c r="WMJ7" s="24"/>
      <c r="WMK7" s="24"/>
      <c r="WML7" s="24"/>
      <c r="WMM7" s="24"/>
      <c r="WMN7" s="24"/>
      <c r="WMO7" s="24"/>
      <c r="WMP7" s="24"/>
      <c r="WMQ7" s="24"/>
      <c r="WMR7" s="24"/>
      <c r="WMS7" s="24"/>
      <c r="WMT7" s="24"/>
      <c r="WMU7" s="24"/>
      <c r="WMV7" s="24"/>
      <c r="WMW7" s="24"/>
      <c r="WMX7" s="24"/>
      <c r="WMY7" s="24"/>
      <c r="WMZ7" s="24"/>
      <c r="WNA7" s="24"/>
      <c r="WNB7" s="24"/>
      <c r="WNC7" s="24"/>
      <c r="WND7" s="24"/>
      <c r="WNE7" s="24"/>
      <c r="WNF7" s="24"/>
      <c r="WNG7" s="24"/>
      <c r="WNH7" s="24"/>
      <c r="WNI7" s="24"/>
      <c r="WNJ7" s="24"/>
      <c r="WNK7" s="24"/>
      <c r="WNL7" s="24"/>
      <c r="WNM7" s="24"/>
      <c r="WNN7" s="24"/>
      <c r="WNO7" s="24"/>
      <c r="WNP7" s="24"/>
      <c r="WNQ7" s="24"/>
      <c r="WNR7" s="24"/>
      <c r="WNS7" s="24"/>
      <c r="WNT7" s="24"/>
      <c r="WNU7" s="24"/>
      <c r="WNV7" s="24"/>
      <c r="WNW7" s="24"/>
      <c r="WNX7" s="24"/>
      <c r="WNY7" s="24"/>
      <c r="WNZ7" s="24"/>
      <c r="WOA7" s="24"/>
      <c r="WOB7" s="24"/>
      <c r="WOC7" s="24"/>
      <c r="WOD7" s="24"/>
      <c r="WOE7" s="24"/>
      <c r="WOF7" s="24"/>
      <c r="WOG7" s="24"/>
      <c r="WOH7" s="24"/>
      <c r="WOI7" s="24"/>
      <c r="WOJ7" s="24"/>
      <c r="WOK7" s="24"/>
      <c r="WOL7" s="24"/>
      <c r="WOM7" s="24"/>
      <c r="WON7" s="24"/>
      <c r="WOO7" s="24"/>
      <c r="WOP7" s="24"/>
      <c r="WOQ7" s="24"/>
      <c r="WOR7" s="24"/>
      <c r="WOS7" s="24"/>
      <c r="WOT7" s="24"/>
      <c r="WOU7" s="24"/>
      <c r="WOV7" s="24"/>
      <c r="WOW7" s="24"/>
      <c r="WOX7" s="24"/>
      <c r="WOY7" s="24"/>
      <c r="WOZ7" s="24"/>
      <c r="WPA7" s="24"/>
      <c r="WPB7" s="24"/>
      <c r="WPC7" s="24"/>
      <c r="WPD7" s="24"/>
      <c r="WPE7" s="24"/>
      <c r="WPF7" s="24"/>
      <c r="WPG7" s="24"/>
      <c r="WPH7" s="24"/>
      <c r="WPI7" s="24"/>
      <c r="WPJ7" s="24"/>
      <c r="WPK7" s="24"/>
      <c r="WPL7" s="24"/>
      <c r="WPM7" s="24"/>
      <c r="WPN7" s="24"/>
      <c r="WPO7" s="24"/>
      <c r="WPP7" s="24"/>
      <c r="WPQ7" s="24"/>
      <c r="WPR7" s="24"/>
      <c r="WPS7" s="24"/>
      <c r="WPT7" s="24"/>
      <c r="WPU7" s="24"/>
      <c r="WPV7" s="24"/>
      <c r="WPW7" s="24"/>
      <c r="WPX7" s="24"/>
      <c r="WPY7" s="24"/>
      <c r="WPZ7" s="24"/>
      <c r="WQA7" s="24"/>
      <c r="WQB7" s="24"/>
      <c r="WQC7" s="24"/>
      <c r="WQD7" s="24"/>
      <c r="WQE7" s="24"/>
      <c r="WQF7" s="24"/>
      <c r="WQG7" s="24"/>
      <c r="WQH7" s="24"/>
      <c r="WQI7" s="24"/>
      <c r="WQJ7" s="24"/>
      <c r="WQK7" s="24"/>
      <c r="WQL7" s="24"/>
      <c r="WQM7" s="24"/>
      <c r="WQN7" s="24"/>
      <c r="WQO7" s="24"/>
      <c r="WQP7" s="24"/>
      <c r="WQQ7" s="24"/>
      <c r="WQR7" s="24"/>
      <c r="WQS7" s="24"/>
      <c r="WQT7" s="24"/>
      <c r="WQU7" s="24"/>
      <c r="WQV7" s="24"/>
      <c r="WQW7" s="24"/>
      <c r="WQX7" s="24"/>
      <c r="WQY7" s="24"/>
      <c r="WQZ7" s="24"/>
      <c r="WRA7" s="24"/>
      <c r="WRB7" s="24"/>
      <c r="WRC7" s="24"/>
      <c r="WRD7" s="24"/>
      <c r="WRE7" s="24"/>
      <c r="WRF7" s="24"/>
      <c r="WRG7" s="24"/>
      <c r="WRH7" s="24"/>
      <c r="WRI7" s="24"/>
      <c r="WRJ7" s="24"/>
      <c r="WRK7" s="24"/>
      <c r="WRL7" s="24"/>
      <c r="WRM7" s="24"/>
      <c r="WRN7" s="24"/>
      <c r="WRO7" s="24"/>
      <c r="WRP7" s="24"/>
      <c r="WRQ7" s="24"/>
      <c r="WRR7" s="24"/>
      <c r="WRS7" s="24"/>
      <c r="WRT7" s="24"/>
      <c r="WRU7" s="24"/>
      <c r="WRV7" s="24"/>
      <c r="WRW7" s="24"/>
      <c r="WRX7" s="24"/>
      <c r="WRY7" s="24"/>
      <c r="WRZ7" s="24"/>
      <c r="WSA7" s="24"/>
      <c r="WSB7" s="24"/>
      <c r="WSC7" s="24"/>
      <c r="WSD7" s="24"/>
      <c r="WSE7" s="24"/>
      <c r="WSF7" s="24"/>
      <c r="WSG7" s="24"/>
      <c r="WSH7" s="24"/>
      <c r="WSI7" s="24"/>
      <c r="WSJ7" s="24"/>
      <c r="WSK7" s="24"/>
      <c r="WSL7" s="24"/>
      <c r="WSM7" s="24"/>
      <c r="WSN7" s="24"/>
      <c r="WSO7" s="24"/>
      <c r="WSP7" s="24"/>
      <c r="WSQ7" s="24"/>
      <c r="WSR7" s="24"/>
      <c r="WSS7" s="24"/>
      <c r="WST7" s="24"/>
      <c r="WSU7" s="24"/>
      <c r="WSV7" s="24"/>
      <c r="WSW7" s="24"/>
      <c r="WSX7" s="24"/>
      <c r="WSY7" s="24"/>
      <c r="WSZ7" s="24"/>
      <c r="WTA7" s="24"/>
      <c r="WTB7" s="24"/>
      <c r="WTC7" s="24"/>
      <c r="WTD7" s="24"/>
      <c r="WTE7" s="24"/>
      <c r="WTF7" s="24"/>
      <c r="WTG7" s="24"/>
      <c r="WTH7" s="24"/>
      <c r="WTI7" s="24"/>
      <c r="WTJ7" s="24"/>
      <c r="WTK7" s="24"/>
      <c r="WTL7" s="24"/>
      <c r="WTM7" s="24"/>
      <c r="WTN7" s="24"/>
      <c r="WTO7" s="24"/>
      <c r="WTP7" s="24"/>
      <c r="WTQ7" s="24"/>
      <c r="WTR7" s="24"/>
      <c r="WTS7" s="24"/>
      <c r="WTT7" s="24"/>
      <c r="WTU7" s="24"/>
      <c r="WTV7" s="24"/>
      <c r="WTW7" s="24"/>
      <c r="WTX7" s="24"/>
      <c r="WTY7" s="24"/>
      <c r="WTZ7" s="24"/>
      <c r="WUA7" s="24"/>
      <c r="WUB7" s="24"/>
      <c r="WUC7" s="24"/>
      <c r="WUD7" s="24"/>
      <c r="WUE7" s="24"/>
      <c r="WUF7" s="24"/>
      <c r="WUG7" s="24"/>
      <c r="WUH7" s="24"/>
      <c r="WUI7" s="24"/>
      <c r="WUJ7" s="24"/>
      <c r="WUK7" s="24"/>
      <c r="WUL7" s="24"/>
      <c r="WUM7" s="24"/>
      <c r="WUN7" s="24"/>
      <c r="WUO7" s="24"/>
      <c r="WUP7" s="24"/>
      <c r="WUQ7" s="24"/>
      <c r="WUR7" s="24"/>
      <c r="WUS7" s="24"/>
      <c r="WUT7" s="24"/>
      <c r="WUU7" s="24"/>
      <c r="WUV7" s="24"/>
      <c r="WUW7" s="24"/>
      <c r="WUX7" s="24"/>
      <c r="WUY7" s="24"/>
      <c r="WUZ7" s="24"/>
      <c r="WVA7" s="24"/>
      <c r="WVB7" s="24"/>
      <c r="WVC7" s="24"/>
      <c r="WVD7" s="24"/>
      <c r="WVE7" s="24"/>
      <c r="WVF7" s="24"/>
      <c r="WVG7" s="24"/>
      <c r="WVH7" s="24"/>
      <c r="WVI7" s="24"/>
      <c r="WVJ7" s="24"/>
      <c r="WVK7" s="24"/>
      <c r="WVL7" s="24"/>
      <c r="WVM7" s="24"/>
      <c r="WVN7" s="24"/>
      <c r="WVO7" s="24"/>
      <c r="WVP7" s="24"/>
      <c r="WVQ7" s="24"/>
      <c r="WVR7" s="24"/>
      <c r="WVS7" s="24"/>
      <c r="WVT7" s="24"/>
      <c r="WVU7" s="24"/>
      <c r="WVV7" s="24"/>
      <c r="WVW7" s="24"/>
      <c r="WVX7" s="24"/>
      <c r="WVY7" s="24"/>
      <c r="WVZ7" s="24"/>
      <c r="WWA7" s="24"/>
      <c r="WWB7" s="24"/>
      <c r="WWC7" s="24"/>
      <c r="WWD7" s="24"/>
      <c r="WWE7" s="24"/>
      <c r="WWF7" s="24"/>
      <c r="WWG7" s="24"/>
      <c r="WWH7" s="24"/>
      <c r="WWI7" s="24"/>
      <c r="WWJ7" s="24"/>
      <c r="WWK7" s="24"/>
      <c r="WWL7" s="24"/>
      <c r="WWM7" s="24"/>
      <c r="WWN7" s="24"/>
      <c r="WWO7" s="24"/>
      <c r="WWP7" s="24"/>
      <c r="WWQ7" s="24"/>
      <c r="WWR7" s="24"/>
      <c r="WWS7" s="24"/>
      <c r="WWT7" s="24"/>
      <c r="WWU7" s="24"/>
      <c r="WWV7" s="24"/>
      <c r="WWW7" s="24"/>
      <c r="WWX7" s="24"/>
      <c r="WWY7" s="24"/>
      <c r="WWZ7" s="24"/>
      <c r="WXA7" s="24"/>
      <c r="WXB7" s="24"/>
      <c r="WXC7" s="24"/>
      <c r="WXD7" s="24"/>
      <c r="WXE7" s="24"/>
      <c r="WXF7" s="24"/>
      <c r="WXG7" s="24"/>
      <c r="WXH7" s="24"/>
      <c r="WXI7" s="24"/>
      <c r="WXJ7" s="24"/>
      <c r="WXK7" s="24"/>
      <c r="WXL7" s="24"/>
      <c r="WXM7" s="24"/>
      <c r="WXN7" s="24"/>
      <c r="WXO7" s="24"/>
      <c r="WXP7" s="24"/>
      <c r="WXQ7" s="24"/>
      <c r="WXR7" s="24"/>
      <c r="WXS7" s="24"/>
      <c r="WXT7" s="24"/>
      <c r="WXU7" s="24"/>
      <c r="WXV7" s="24"/>
      <c r="WXW7" s="24"/>
      <c r="WXX7" s="24"/>
      <c r="WXY7" s="24"/>
      <c r="WXZ7" s="24"/>
      <c r="WYA7" s="24"/>
      <c r="WYB7" s="24"/>
      <c r="WYC7" s="24"/>
      <c r="WYD7" s="24"/>
      <c r="WYE7" s="24"/>
      <c r="WYF7" s="24"/>
      <c r="WYG7" s="24"/>
      <c r="WYH7" s="24"/>
      <c r="WYI7" s="24"/>
      <c r="WYJ7" s="24"/>
      <c r="WYK7" s="24"/>
      <c r="WYL7" s="24"/>
      <c r="WYM7" s="24"/>
      <c r="WYN7" s="24"/>
      <c r="WYO7" s="24"/>
      <c r="WYP7" s="24"/>
      <c r="WYQ7" s="24"/>
      <c r="WYR7" s="24"/>
      <c r="WYS7" s="24"/>
      <c r="WYT7" s="24"/>
      <c r="WYU7" s="24"/>
      <c r="WYV7" s="24"/>
      <c r="WYW7" s="24"/>
      <c r="WYX7" s="24"/>
      <c r="WYY7" s="24"/>
      <c r="WYZ7" s="24"/>
      <c r="WZA7" s="24"/>
      <c r="WZB7" s="24"/>
      <c r="WZC7" s="24"/>
      <c r="WZD7" s="24"/>
      <c r="WZE7" s="24"/>
      <c r="WZF7" s="24"/>
      <c r="WZG7" s="24"/>
      <c r="WZH7" s="24"/>
      <c r="WZI7" s="24"/>
      <c r="WZJ7" s="24"/>
      <c r="WZK7" s="24"/>
      <c r="WZL7" s="24"/>
      <c r="WZM7" s="24"/>
      <c r="WZN7" s="24"/>
      <c r="WZO7" s="24"/>
      <c r="WZP7" s="24"/>
      <c r="WZQ7" s="24"/>
      <c r="WZR7" s="24"/>
      <c r="WZS7" s="24"/>
      <c r="WZT7" s="24"/>
      <c r="WZU7" s="24"/>
      <c r="WZV7" s="24"/>
      <c r="WZW7" s="24"/>
      <c r="WZX7" s="24"/>
      <c r="WZY7" s="24"/>
      <c r="WZZ7" s="24"/>
      <c r="XAA7" s="24"/>
      <c r="XAB7" s="24"/>
      <c r="XAC7" s="24"/>
      <c r="XAD7" s="24"/>
      <c r="XAE7" s="24"/>
      <c r="XAF7" s="24"/>
      <c r="XAG7" s="24"/>
      <c r="XAH7" s="24"/>
      <c r="XAI7" s="24"/>
      <c r="XAJ7" s="24"/>
      <c r="XAK7" s="24"/>
      <c r="XAL7" s="24"/>
      <c r="XAM7" s="24"/>
      <c r="XAN7" s="24"/>
      <c r="XAO7" s="24"/>
      <c r="XAP7" s="24"/>
      <c r="XAQ7" s="24"/>
      <c r="XAR7" s="24"/>
      <c r="XAS7" s="24"/>
      <c r="XAT7" s="24"/>
      <c r="XAU7" s="24"/>
      <c r="XAV7" s="24"/>
      <c r="XAW7" s="24"/>
      <c r="XAX7" s="24"/>
      <c r="XAY7" s="24"/>
      <c r="XAZ7" s="24"/>
      <c r="XBA7" s="24"/>
      <c r="XBB7" s="24"/>
      <c r="XBC7" s="24"/>
      <c r="XBD7" s="24"/>
      <c r="XBE7" s="24"/>
      <c r="XBF7" s="24"/>
      <c r="XBG7" s="24"/>
      <c r="XBH7" s="24"/>
      <c r="XBI7" s="24"/>
      <c r="XBJ7" s="24"/>
      <c r="XBK7" s="24"/>
      <c r="XBL7" s="24"/>
      <c r="XBM7" s="24"/>
      <c r="XBN7" s="24"/>
      <c r="XBO7" s="24"/>
      <c r="XBP7" s="24"/>
      <c r="XBQ7" s="24"/>
      <c r="XBR7" s="24"/>
      <c r="XBS7" s="24"/>
      <c r="XBT7" s="24"/>
      <c r="XBU7" s="24"/>
      <c r="XBV7" s="24"/>
      <c r="XBW7" s="24"/>
      <c r="XBX7" s="24"/>
      <c r="XBY7" s="24"/>
      <c r="XBZ7" s="24"/>
      <c r="XCA7" s="24"/>
      <c r="XCB7" s="24"/>
      <c r="XCC7" s="24"/>
      <c r="XCD7" s="24"/>
      <c r="XCE7" s="24"/>
      <c r="XCF7" s="24"/>
      <c r="XCG7" s="24"/>
      <c r="XCH7" s="24"/>
      <c r="XCI7" s="24"/>
      <c r="XCJ7" s="24"/>
      <c r="XCK7" s="24"/>
      <c r="XCL7" s="24"/>
      <c r="XCM7" s="24"/>
      <c r="XCN7" s="24"/>
      <c r="XCO7" s="24"/>
      <c r="XCP7" s="24"/>
      <c r="XCQ7" s="24"/>
      <c r="XCR7" s="24"/>
      <c r="XCS7" s="24"/>
      <c r="XCT7" s="24"/>
      <c r="XCU7" s="24"/>
      <c r="XCV7" s="24"/>
      <c r="XCW7" s="24"/>
      <c r="XCX7" s="24"/>
      <c r="XCY7" s="24"/>
      <c r="XCZ7" s="24"/>
      <c r="XDA7" s="24"/>
      <c r="XDB7" s="24"/>
      <c r="XDC7" s="24"/>
      <c r="XDD7" s="24"/>
      <c r="XDE7" s="24"/>
      <c r="XDF7" s="24"/>
      <c r="XDG7" s="24"/>
      <c r="XDH7" s="24"/>
      <c r="XDI7" s="24"/>
      <c r="XDJ7" s="24"/>
      <c r="XDK7" s="24"/>
      <c r="XDL7" s="24"/>
      <c r="XDM7" s="24"/>
      <c r="XDN7" s="24"/>
      <c r="XDO7" s="24"/>
      <c r="XDP7" s="24"/>
      <c r="XDQ7" s="24"/>
      <c r="XDR7" s="24"/>
      <c r="XDS7" s="24"/>
      <c r="XDT7" s="24"/>
      <c r="XDU7" s="24"/>
      <c r="XDV7" s="24"/>
      <c r="XDW7" s="24"/>
      <c r="XDX7" s="24"/>
      <c r="XDY7" s="24"/>
      <c r="XDZ7" s="24"/>
      <c r="XEA7" s="24"/>
      <c r="XEB7" s="24"/>
      <c r="XEC7" s="24"/>
      <c r="XED7" s="24"/>
      <c r="XEE7" s="24"/>
      <c r="XEF7" s="24"/>
      <c r="XEG7" s="24"/>
      <c r="XEH7" s="24"/>
      <c r="XEI7" s="24"/>
      <c r="XEJ7" s="24"/>
      <c r="XEK7" s="24"/>
      <c r="XEL7" s="24"/>
      <c r="XEM7" s="24"/>
      <c r="XEN7" s="24"/>
      <c r="XEO7" s="24"/>
      <c r="XEP7" s="24"/>
      <c r="XEQ7" s="24"/>
      <c r="XER7" s="24"/>
      <c r="XES7" s="24"/>
      <c r="XET7" s="24"/>
      <c r="XEU7" s="24"/>
      <c r="XEV7" s="24"/>
      <c r="XEW7" s="24"/>
      <c r="XEX7" s="24"/>
      <c r="XEY7" s="24"/>
      <c r="XEZ7" s="24"/>
      <c r="XFA7" s="24"/>
      <c r="XFB7" s="24"/>
      <c r="XFC7" s="24"/>
      <c r="XFD7" s="24"/>
    </row>
    <row r="8" spans="1:16384" x14ac:dyDescent="0.25">
      <c r="A8" s="24" t="s">
        <v>147</v>
      </c>
      <c r="B8" s="307" t="s">
        <v>173</v>
      </c>
      <c r="C8" s="308">
        <v>9691.67</v>
      </c>
      <c r="D8" s="308">
        <v>10050</v>
      </c>
      <c r="E8" s="308">
        <v>10650</v>
      </c>
      <c r="F8" s="308">
        <v>11425</v>
      </c>
      <c r="G8" s="307">
        <v>12275</v>
      </c>
      <c r="H8" s="307">
        <v>13216.67</v>
      </c>
      <c r="I8" s="307">
        <v>14141.67</v>
      </c>
      <c r="J8" s="307">
        <v>15133.33</v>
      </c>
      <c r="K8" s="307">
        <v>16458.330000000002</v>
      </c>
      <c r="L8" s="307" t="s">
        <v>173</v>
      </c>
      <c r="M8" s="34" t="s">
        <v>173</v>
      </c>
      <c r="N8" s="34" t="s">
        <v>173</v>
      </c>
      <c r="O8" s="34" t="s">
        <v>173</v>
      </c>
      <c r="P8" s="34" t="s">
        <v>173</v>
      </c>
      <c r="Q8" s="34" t="s">
        <v>173</v>
      </c>
      <c r="R8" s="34" t="s">
        <v>173</v>
      </c>
      <c r="S8" s="34" t="s">
        <v>173</v>
      </c>
      <c r="T8" s="34" t="s">
        <v>173</v>
      </c>
      <c r="U8" s="34" t="s">
        <v>173</v>
      </c>
      <c r="V8" s="34" t="s">
        <v>173</v>
      </c>
      <c r="W8" s="34" t="s">
        <v>173</v>
      </c>
      <c r="X8" s="34" t="s">
        <v>173</v>
      </c>
      <c r="Y8" s="36" t="s">
        <v>173</v>
      </c>
      <c r="Z8" s="36" t="s">
        <v>173</v>
      </c>
      <c r="AA8" s="58">
        <v>0.45500000000000002</v>
      </c>
      <c r="AB8" s="36" t="s">
        <v>173</v>
      </c>
      <c r="AC8" s="36" t="s">
        <v>173</v>
      </c>
      <c r="AD8" s="58">
        <v>0.47639999999999999</v>
      </c>
      <c r="AE8" s="24"/>
      <c r="AF8" s="24"/>
      <c r="AG8" s="24"/>
      <c r="AH8" s="24"/>
      <c r="AI8" s="24"/>
      <c r="AJ8" s="24"/>
      <c r="AK8" s="24"/>
      <c r="AL8" s="24"/>
      <c r="AM8" s="24"/>
      <c r="AN8" s="24"/>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24"/>
      <c r="CN8" s="24"/>
      <c r="CO8" s="24"/>
      <c r="CP8" s="24"/>
      <c r="CQ8" s="24"/>
      <c r="CR8" s="24"/>
      <c r="CS8" s="24"/>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4"/>
      <c r="DZ8" s="24"/>
      <c r="EA8" s="24"/>
      <c r="EB8" s="24"/>
      <c r="EC8" s="24"/>
      <c r="ED8" s="24"/>
      <c r="EE8" s="24"/>
      <c r="EF8" s="24"/>
      <c r="EG8" s="24"/>
      <c r="EH8" s="24"/>
      <c r="EI8" s="24"/>
      <c r="EJ8" s="24"/>
      <c r="EK8" s="24"/>
      <c r="EL8" s="24"/>
      <c r="EM8" s="24"/>
      <c r="EN8" s="24"/>
      <c r="EO8" s="24"/>
      <c r="EP8" s="24"/>
      <c r="EQ8" s="24"/>
      <c r="ER8" s="24"/>
      <c r="ES8" s="24"/>
      <c r="ET8" s="24"/>
      <c r="EU8" s="24"/>
      <c r="EV8" s="24"/>
      <c r="EW8" s="24"/>
      <c r="EX8" s="24"/>
      <c r="EY8" s="24"/>
      <c r="EZ8" s="24"/>
      <c r="FA8" s="24"/>
      <c r="FB8" s="24"/>
      <c r="FC8" s="24"/>
      <c r="FD8" s="24"/>
      <c r="FE8" s="24"/>
      <c r="FF8" s="24"/>
      <c r="FG8" s="24"/>
      <c r="FH8" s="24"/>
      <c r="FI8" s="24"/>
      <c r="FJ8" s="24"/>
      <c r="FK8" s="24"/>
      <c r="FL8" s="24"/>
      <c r="FM8" s="24"/>
      <c r="FN8" s="24"/>
      <c r="FO8" s="24"/>
      <c r="FP8" s="24"/>
      <c r="FQ8" s="24"/>
      <c r="FR8" s="24"/>
      <c r="FS8" s="24"/>
      <c r="FT8" s="24"/>
      <c r="FU8" s="24"/>
      <c r="FV8" s="24"/>
      <c r="FW8" s="24"/>
      <c r="FX8" s="24"/>
      <c r="FY8" s="24"/>
      <c r="FZ8" s="24"/>
      <c r="GA8" s="24"/>
      <c r="GB8" s="24"/>
      <c r="GC8" s="24"/>
      <c r="GD8" s="24"/>
      <c r="GE8" s="24"/>
      <c r="GF8" s="24"/>
      <c r="GG8" s="24"/>
      <c r="GH8" s="24"/>
      <c r="GI8" s="24"/>
      <c r="GJ8" s="24"/>
      <c r="GK8" s="24"/>
      <c r="GL8" s="24"/>
      <c r="GM8" s="24"/>
      <c r="GN8" s="24"/>
      <c r="GO8" s="24"/>
      <c r="GP8" s="24"/>
      <c r="GQ8" s="24"/>
      <c r="GR8" s="24"/>
      <c r="GS8" s="24"/>
      <c r="GT8" s="24"/>
      <c r="GU8" s="24"/>
      <c r="GV8" s="24"/>
      <c r="GW8" s="24"/>
      <c r="GX8" s="24"/>
      <c r="GY8" s="24"/>
      <c r="GZ8" s="24"/>
      <c r="HA8" s="24"/>
      <c r="HB8" s="24"/>
      <c r="HC8" s="24"/>
      <c r="HD8" s="24"/>
      <c r="HE8" s="24"/>
      <c r="HF8" s="24"/>
      <c r="HG8" s="24"/>
      <c r="HH8" s="24"/>
      <c r="HI8" s="24"/>
      <c r="HJ8" s="24"/>
      <c r="HK8" s="24"/>
      <c r="HL8" s="24"/>
      <c r="HM8" s="24"/>
      <c r="HN8" s="24"/>
      <c r="HO8" s="24"/>
      <c r="HP8" s="24"/>
      <c r="HQ8" s="24"/>
      <c r="HR8" s="24"/>
      <c r="HS8" s="24"/>
      <c r="HT8" s="24"/>
      <c r="HU8" s="24"/>
      <c r="HV8" s="24"/>
      <c r="HW8" s="24"/>
      <c r="HX8" s="24"/>
      <c r="HY8" s="24"/>
      <c r="HZ8" s="24"/>
      <c r="IA8" s="24"/>
      <c r="IB8" s="24"/>
      <c r="IC8" s="24"/>
      <c r="ID8" s="24"/>
      <c r="IE8" s="24"/>
      <c r="IF8" s="24"/>
      <c r="IG8" s="24"/>
      <c r="IH8" s="24"/>
      <c r="II8" s="24"/>
      <c r="IJ8" s="24"/>
      <c r="IK8" s="24"/>
      <c r="IL8" s="24"/>
      <c r="IM8" s="24"/>
      <c r="IN8" s="24"/>
      <c r="IO8" s="24"/>
      <c r="IP8" s="24"/>
      <c r="IQ8" s="24"/>
      <c r="IR8" s="24"/>
      <c r="IS8" s="24"/>
      <c r="IT8" s="24"/>
      <c r="IU8" s="24"/>
      <c r="IV8" s="24"/>
      <c r="IW8" s="24"/>
      <c r="IX8" s="24"/>
      <c r="IY8" s="24"/>
      <c r="IZ8" s="24"/>
      <c r="JA8" s="24"/>
      <c r="JB8" s="24"/>
      <c r="JC8" s="24"/>
      <c r="JD8" s="24"/>
      <c r="JE8" s="24"/>
      <c r="JF8" s="24"/>
      <c r="JG8" s="24"/>
      <c r="JH8" s="24"/>
      <c r="JI8" s="24"/>
      <c r="JJ8" s="24"/>
      <c r="JK8" s="24"/>
      <c r="JL8" s="24"/>
      <c r="JM8" s="24"/>
      <c r="JN8" s="24"/>
      <c r="JO8" s="24"/>
      <c r="JP8" s="24"/>
      <c r="JQ8" s="24"/>
      <c r="JR8" s="24"/>
      <c r="JS8" s="24"/>
      <c r="JT8" s="24"/>
      <c r="JU8" s="24"/>
      <c r="JV8" s="24"/>
      <c r="JW8" s="24"/>
      <c r="JX8" s="24"/>
      <c r="JY8" s="24"/>
      <c r="JZ8" s="24"/>
      <c r="KA8" s="24"/>
      <c r="KB8" s="24"/>
      <c r="KC8" s="24"/>
      <c r="KD8" s="24"/>
      <c r="KE8" s="24"/>
      <c r="KF8" s="24"/>
      <c r="KG8" s="24"/>
      <c r="KH8" s="24"/>
      <c r="KI8" s="24"/>
      <c r="KJ8" s="24"/>
      <c r="KK8" s="24"/>
      <c r="KL8" s="24"/>
      <c r="KM8" s="24"/>
      <c r="KN8" s="24"/>
      <c r="KO8" s="24"/>
      <c r="KP8" s="24"/>
      <c r="KQ8" s="24"/>
      <c r="KR8" s="24"/>
      <c r="KS8" s="24"/>
      <c r="KT8" s="24"/>
      <c r="KU8" s="24"/>
      <c r="KV8" s="24"/>
      <c r="KW8" s="24"/>
      <c r="KX8" s="24"/>
      <c r="KY8" s="24"/>
      <c r="KZ8" s="24"/>
      <c r="LA8" s="24"/>
      <c r="LB8" s="24"/>
      <c r="LC8" s="24"/>
      <c r="LD8" s="24"/>
      <c r="LE8" s="24"/>
      <c r="LF8" s="24"/>
      <c r="LG8" s="24"/>
      <c r="LH8" s="24"/>
      <c r="LI8" s="24"/>
      <c r="LJ8" s="24"/>
      <c r="LK8" s="24"/>
      <c r="LL8" s="24"/>
      <c r="LM8" s="24"/>
      <c r="LN8" s="24"/>
      <c r="LO8" s="24"/>
      <c r="LP8" s="24"/>
      <c r="LQ8" s="24"/>
      <c r="LR8" s="24"/>
      <c r="LS8" s="24"/>
      <c r="LT8" s="24"/>
      <c r="LU8" s="24"/>
      <c r="LV8" s="24"/>
      <c r="LW8" s="24"/>
      <c r="LX8" s="24"/>
      <c r="LY8" s="24"/>
      <c r="LZ8" s="24"/>
      <c r="MA8" s="24"/>
      <c r="MB8" s="24"/>
      <c r="MC8" s="24"/>
      <c r="MD8" s="24"/>
      <c r="ME8" s="24"/>
      <c r="MF8" s="24"/>
      <c r="MG8" s="24"/>
      <c r="MH8" s="24"/>
      <c r="MI8" s="24"/>
      <c r="MJ8" s="24"/>
      <c r="MK8" s="24"/>
      <c r="ML8" s="24"/>
      <c r="MM8" s="24"/>
      <c r="MN8" s="24"/>
      <c r="MO8" s="24"/>
      <c r="MP8" s="24"/>
      <c r="MQ8" s="24"/>
      <c r="MR8" s="24"/>
      <c r="MS8" s="24"/>
      <c r="MT8" s="24"/>
      <c r="MU8" s="24"/>
      <c r="MV8" s="24"/>
      <c r="MW8" s="24"/>
      <c r="MX8" s="24"/>
      <c r="MY8" s="24"/>
      <c r="MZ8" s="24"/>
      <c r="NA8" s="24"/>
      <c r="NB8" s="24"/>
      <c r="NC8" s="24"/>
      <c r="ND8" s="24"/>
      <c r="NE8" s="24"/>
      <c r="NF8" s="24"/>
      <c r="NG8" s="24"/>
      <c r="NH8" s="24"/>
      <c r="NI8" s="24"/>
      <c r="NJ8" s="24"/>
      <c r="NK8" s="24"/>
      <c r="NL8" s="24"/>
      <c r="NM8" s="24"/>
      <c r="NN8" s="24"/>
      <c r="NO8" s="24"/>
      <c r="NP8" s="24"/>
      <c r="NQ8" s="24"/>
      <c r="NR8" s="24"/>
      <c r="NS8" s="24"/>
      <c r="NT8" s="24"/>
      <c r="NU8" s="24"/>
      <c r="NV8" s="24"/>
      <c r="NW8" s="24"/>
      <c r="NX8" s="24"/>
      <c r="NY8" s="24"/>
      <c r="NZ8" s="24"/>
      <c r="OA8" s="24"/>
      <c r="OB8" s="24"/>
      <c r="OC8" s="24"/>
      <c r="OD8" s="24"/>
      <c r="OE8" s="24"/>
      <c r="OF8" s="24"/>
      <c r="OG8" s="24"/>
      <c r="OH8" s="24"/>
      <c r="OI8" s="24"/>
      <c r="OJ8" s="24"/>
      <c r="OK8" s="24"/>
      <c r="OL8" s="24"/>
      <c r="OM8" s="24"/>
      <c r="ON8" s="24"/>
      <c r="OO8" s="24"/>
      <c r="OP8" s="24"/>
      <c r="OQ8" s="24"/>
      <c r="OR8" s="24"/>
      <c r="OS8" s="24"/>
      <c r="OT8" s="24"/>
      <c r="OU8" s="24"/>
      <c r="OV8" s="24"/>
      <c r="OW8" s="24"/>
      <c r="OX8" s="24"/>
      <c r="OY8" s="24"/>
      <c r="OZ8" s="24"/>
      <c r="PA8" s="24"/>
      <c r="PB8" s="24"/>
      <c r="PC8" s="24"/>
      <c r="PD8" s="24"/>
      <c r="PE8" s="24"/>
      <c r="PF8" s="24"/>
      <c r="PG8" s="24"/>
      <c r="PH8" s="24"/>
      <c r="PI8" s="24"/>
      <c r="PJ8" s="24"/>
      <c r="PK8" s="24"/>
      <c r="PL8" s="24"/>
      <c r="PM8" s="24"/>
      <c r="PN8" s="24"/>
      <c r="PO8" s="24"/>
      <c r="PP8" s="24"/>
      <c r="PQ8" s="24"/>
      <c r="PR8" s="24"/>
      <c r="PS8" s="24"/>
      <c r="PT8" s="24"/>
      <c r="PU8" s="24"/>
      <c r="PV8" s="24"/>
      <c r="PW8" s="24"/>
      <c r="PX8" s="24"/>
      <c r="PY8" s="24"/>
      <c r="PZ8" s="24"/>
      <c r="QA8" s="24"/>
      <c r="QB8" s="24"/>
      <c r="QC8" s="24"/>
      <c r="QD8" s="24"/>
      <c r="QE8" s="24"/>
      <c r="QF8" s="24"/>
      <c r="QG8" s="24"/>
      <c r="QH8" s="24"/>
      <c r="QI8" s="24"/>
      <c r="QJ8" s="24"/>
      <c r="QK8" s="24"/>
      <c r="QL8" s="24"/>
      <c r="QM8" s="24"/>
      <c r="QN8" s="24"/>
      <c r="QO8" s="24"/>
      <c r="QP8" s="24"/>
      <c r="QQ8" s="24"/>
      <c r="QR8" s="24"/>
      <c r="QS8" s="24"/>
      <c r="QT8" s="24"/>
      <c r="QU8" s="24"/>
      <c r="QV8" s="24"/>
      <c r="QW8" s="24"/>
      <c r="QX8" s="24"/>
      <c r="QY8" s="24"/>
      <c r="QZ8" s="24"/>
      <c r="RA8" s="24"/>
      <c r="RB8" s="24"/>
      <c r="RC8" s="24"/>
      <c r="RD8" s="24"/>
      <c r="RE8" s="24"/>
      <c r="RF8" s="24"/>
      <c r="RG8" s="24"/>
      <c r="RH8" s="24"/>
      <c r="RI8" s="24"/>
      <c r="RJ8" s="24"/>
      <c r="RK8" s="24"/>
      <c r="RL8" s="24"/>
      <c r="RM8" s="24"/>
      <c r="RN8" s="24"/>
      <c r="RO8" s="24"/>
      <c r="RP8" s="24"/>
      <c r="RQ8" s="24"/>
      <c r="RR8" s="24"/>
      <c r="RS8" s="24"/>
      <c r="RT8" s="24"/>
      <c r="RU8" s="24"/>
      <c r="RV8" s="24"/>
      <c r="RW8" s="24"/>
      <c r="RX8" s="24"/>
      <c r="RY8" s="24"/>
      <c r="RZ8" s="24"/>
      <c r="SA8" s="24"/>
      <c r="SB8" s="24"/>
      <c r="SC8" s="24"/>
      <c r="SD8" s="24"/>
      <c r="SE8" s="24"/>
      <c r="SF8" s="24"/>
      <c r="SG8" s="24"/>
      <c r="SH8" s="24"/>
      <c r="SI8" s="24"/>
      <c r="SJ8" s="24"/>
      <c r="SK8" s="24"/>
      <c r="SL8" s="24"/>
      <c r="SM8" s="24"/>
      <c r="SN8" s="24"/>
      <c r="SO8" s="24"/>
      <c r="SP8" s="24"/>
      <c r="SQ8" s="24"/>
      <c r="SR8" s="24"/>
      <c r="SS8" s="24"/>
      <c r="ST8" s="24"/>
      <c r="SU8" s="24"/>
      <c r="SV8" s="24"/>
      <c r="SW8" s="24"/>
      <c r="SX8" s="24"/>
      <c r="SY8" s="24"/>
      <c r="SZ8" s="24"/>
      <c r="TA8" s="24"/>
      <c r="TB8" s="24"/>
      <c r="TC8" s="24"/>
      <c r="TD8" s="24"/>
      <c r="TE8" s="24"/>
      <c r="TF8" s="24"/>
      <c r="TG8" s="24"/>
      <c r="TH8" s="24"/>
      <c r="TI8" s="24"/>
      <c r="TJ8" s="24"/>
      <c r="TK8" s="24"/>
      <c r="TL8" s="24"/>
      <c r="TM8" s="24"/>
      <c r="TN8" s="24"/>
      <c r="TO8" s="24"/>
      <c r="TP8" s="24"/>
      <c r="TQ8" s="24"/>
      <c r="TR8" s="24"/>
      <c r="TS8" s="24"/>
      <c r="TT8" s="24"/>
      <c r="TU8" s="24"/>
      <c r="TV8" s="24"/>
      <c r="TW8" s="24"/>
      <c r="TX8" s="24"/>
      <c r="TY8" s="24"/>
      <c r="TZ8" s="24"/>
      <c r="UA8" s="24"/>
      <c r="UB8" s="24"/>
      <c r="UC8" s="24"/>
      <c r="UD8" s="24"/>
      <c r="UE8" s="24"/>
      <c r="UF8" s="24"/>
      <c r="UG8" s="24"/>
      <c r="UH8" s="24"/>
      <c r="UI8" s="24"/>
      <c r="UJ8" s="24"/>
      <c r="UK8" s="24"/>
      <c r="UL8" s="24"/>
      <c r="UM8" s="24"/>
      <c r="UN8" s="24"/>
      <c r="UO8" s="24"/>
      <c r="UP8" s="24"/>
      <c r="UQ8" s="24"/>
      <c r="UR8" s="24"/>
      <c r="US8" s="24"/>
      <c r="UT8" s="24"/>
      <c r="UU8" s="24"/>
      <c r="UV8" s="24"/>
      <c r="UW8" s="24"/>
      <c r="UX8" s="24"/>
      <c r="UY8" s="24"/>
      <c r="UZ8" s="24"/>
      <c r="VA8" s="24"/>
      <c r="VB8" s="24"/>
      <c r="VC8" s="24"/>
      <c r="VD8" s="24"/>
      <c r="VE8" s="24"/>
      <c r="VF8" s="24"/>
      <c r="VG8" s="24"/>
      <c r="VH8" s="24"/>
      <c r="VI8" s="24"/>
      <c r="VJ8" s="24"/>
      <c r="VK8" s="24"/>
      <c r="VL8" s="24"/>
      <c r="VM8" s="24"/>
      <c r="VN8" s="24"/>
      <c r="VO8" s="24"/>
      <c r="VP8" s="24"/>
      <c r="VQ8" s="24"/>
      <c r="VR8" s="24"/>
      <c r="VS8" s="24"/>
      <c r="VT8" s="24"/>
      <c r="VU8" s="24"/>
      <c r="VV8" s="24"/>
      <c r="VW8" s="24"/>
      <c r="VX8" s="24"/>
      <c r="VY8" s="24"/>
      <c r="VZ8" s="24"/>
      <c r="WA8" s="24"/>
      <c r="WB8" s="24"/>
      <c r="WC8" s="24"/>
      <c r="WD8" s="24"/>
      <c r="WE8" s="24"/>
      <c r="WF8" s="24"/>
      <c r="WG8" s="24"/>
      <c r="WH8" s="24"/>
      <c r="WI8" s="24"/>
      <c r="WJ8" s="24"/>
      <c r="WK8" s="24"/>
      <c r="WL8" s="24"/>
      <c r="WM8" s="24"/>
      <c r="WN8" s="24"/>
      <c r="WO8" s="24"/>
      <c r="WP8" s="24"/>
      <c r="WQ8" s="24"/>
      <c r="WR8" s="24"/>
      <c r="WS8" s="24"/>
      <c r="WT8" s="24"/>
      <c r="WU8" s="24"/>
      <c r="WV8" s="24"/>
      <c r="WW8" s="24"/>
      <c r="WX8" s="24"/>
      <c r="WY8" s="24"/>
      <c r="WZ8" s="24"/>
      <c r="XA8" s="24"/>
      <c r="XB8" s="24"/>
      <c r="XC8" s="24"/>
      <c r="XD8" s="24"/>
      <c r="XE8" s="24"/>
      <c r="XF8" s="24"/>
      <c r="XG8" s="24"/>
      <c r="XH8" s="24"/>
      <c r="XI8" s="24"/>
      <c r="XJ8" s="24"/>
      <c r="XK8" s="24"/>
      <c r="XL8" s="24"/>
      <c r="XM8" s="24"/>
      <c r="XN8" s="24"/>
      <c r="XO8" s="24"/>
      <c r="XP8" s="24"/>
      <c r="XQ8" s="24"/>
      <c r="XR8" s="24"/>
      <c r="XS8" s="24"/>
      <c r="XT8" s="24"/>
      <c r="XU8" s="24"/>
      <c r="XV8" s="24"/>
      <c r="XW8" s="24"/>
      <c r="XX8" s="24"/>
      <c r="XY8" s="24"/>
      <c r="XZ8" s="24"/>
      <c r="YA8" s="24"/>
      <c r="YB8" s="24"/>
      <c r="YC8" s="24"/>
      <c r="YD8" s="24"/>
      <c r="YE8" s="24"/>
      <c r="YF8" s="24"/>
      <c r="YG8" s="24"/>
      <c r="YH8" s="24"/>
      <c r="YI8" s="24"/>
      <c r="YJ8" s="24"/>
      <c r="YK8" s="24"/>
      <c r="YL8" s="24"/>
      <c r="YM8" s="24"/>
      <c r="YN8" s="24"/>
      <c r="YO8" s="24"/>
      <c r="YP8" s="24"/>
      <c r="YQ8" s="24"/>
      <c r="YR8" s="24"/>
      <c r="YS8" s="24"/>
      <c r="YT8" s="24"/>
      <c r="YU8" s="24"/>
      <c r="YV8" s="24"/>
      <c r="YW8" s="24"/>
      <c r="YX8" s="24"/>
      <c r="YY8" s="24"/>
      <c r="YZ8" s="24"/>
      <c r="ZA8" s="24"/>
      <c r="ZB8" s="24"/>
      <c r="ZC8" s="24"/>
      <c r="ZD8" s="24"/>
      <c r="ZE8" s="24"/>
      <c r="ZF8" s="24"/>
      <c r="ZG8" s="24"/>
      <c r="ZH8" s="24"/>
      <c r="ZI8" s="24"/>
      <c r="ZJ8" s="24"/>
      <c r="ZK8" s="24"/>
      <c r="ZL8" s="24"/>
      <c r="ZM8" s="24"/>
      <c r="ZN8" s="24"/>
      <c r="ZO8" s="24"/>
      <c r="ZP8" s="24"/>
      <c r="ZQ8" s="24"/>
      <c r="ZR8" s="24"/>
      <c r="ZS8" s="24"/>
      <c r="ZT8" s="24"/>
      <c r="ZU8" s="24"/>
      <c r="ZV8" s="24"/>
      <c r="ZW8" s="24"/>
      <c r="ZX8" s="24"/>
      <c r="ZY8" s="24"/>
      <c r="ZZ8" s="24"/>
      <c r="AAA8" s="24"/>
      <c r="AAB8" s="24"/>
      <c r="AAC8" s="24"/>
      <c r="AAD8" s="24"/>
      <c r="AAE8" s="24"/>
      <c r="AAF8" s="24"/>
      <c r="AAG8" s="24"/>
      <c r="AAH8" s="24"/>
      <c r="AAI8" s="24"/>
      <c r="AAJ8" s="24"/>
      <c r="AAK8" s="24"/>
      <c r="AAL8" s="24"/>
      <c r="AAM8" s="24"/>
      <c r="AAN8" s="24"/>
      <c r="AAO8" s="24"/>
      <c r="AAP8" s="24"/>
      <c r="AAQ8" s="24"/>
      <c r="AAR8" s="24"/>
      <c r="AAS8" s="24"/>
      <c r="AAT8" s="24"/>
      <c r="AAU8" s="24"/>
      <c r="AAV8" s="24"/>
      <c r="AAW8" s="24"/>
      <c r="AAX8" s="24"/>
      <c r="AAY8" s="24"/>
      <c r="AAZ8" s="24"/>
      <c r="ABA8" s="24"/>
      <c r="ABB8" s="24"/>
      <c r="ABC8" s="24"/>
      <c r="ABD8" s="24"/>
      <c r="ABE8" s="24"/>
      <c r="ABF8" s="24"/>
      <c r="ABG8" s="24"/>
      <c r="ABH8" s="24"/>
      <c r="ABI8" s="24"/>
      <c r="ABJ8" s="24"/>
      <c r="ABK8" s="24"/>
      <c r="ABL8" s="24"/>
      <c r="ABM8" s="24"/>
      <c r="ABN8" s="24"/>
      <c r="ABO8" s="24"/>
      <c r="ABP8" s="24"/>
      <c r="ABQ8" s="24"/>
      <c r="ABR8" s="24"/>
      <c r="ABS8" s="24"/>
      <c r="ABT8" s="24"/>
      <c r="ABU8" s="24"/>
      <c r="ABV8" s="24"/>
      <c r="ABW8" s="24"/>
      <c r="ABX8" s="24"/>
      <c r="ABY8" s="24"/>
      <c r="ABZ8" s="24"/>
      <c r="ACA8" s="24"/>
      <c r="ACB8" s="24"/>
      <c r="ACC8" s="24"/>
      <c r="ACD8" s="24"/>
      <c r="ACE8" s="24"/>
      <c r="ACF8" s="24"/>
      <c r="ACG8" s="24"/>
      <c r="ACH8" s="24"/>
      <c r="ACI8" s="24"/>
      <c r="ACJ8" s="24"/>
      <c r="ACK8" s="24"/>
      <c r="ACL8" s="24"/>
      <c r="ACM8" s="24"/>
      <c r="ACN8" s="24"/>
      <c r="ACO8" s="24"/>
      <c r="ACP8" s="24"/>
      <c r="ACQ8" s="24"/>
      <c r="ACR8" s="24"/>
      <c r="ACS8" s="24"/>
      <c r="ACT8" s="24"/>
      <c r="ACU8" s="24"/>
      <c r="ACV8" s="24"/>
      <c r="ACW8" s="24"/>
      <c r="ACX8" s="24"/>
      <c r="ACY8" s="24"/>
      <c r="ACZ8" s="24"/>
      <c r="ADA8" s="24"/>
      <c r="ADB8" s="24"/>
      <c r="ADC8" s="24"/>
      <c r="ADD8" s="24"/>
      <c r="ADE8" s="24"/>
      <c r="ADF8" s="24"/>
      <c r="ADG8" s="24"/>
      <c r="ADH8" s="24"/>
      <c r="ADI8" s="24"/>
      <c r="ADJ8" s="24"/>
      <c r="ADK8" s="24"/>
      <c r="ADL8" s="24"/>
      <c r="ADM8" s="24"/>
      <c r="ADN8" s="24"/>
      <c r="ADO8" s="24"/>
      <c r="ADP8" s="24"/>
      <c r="ADQ8" s="24"/>
      <c r="ADR8" s="24"/>
      <c r="ADS8" s="24"/>
      <c r="ADT8" s="24"/>
      <c r="ADU8" s="24"/>
      <c r="ADV8" s="24"/>
      <c r="ADW8" s="24"/>
      <c r="ADX8" s="24"/>
      <c r="ADY8" s="24"/>
      <c r="ADZ8" s="24"/>
      <c r="AEA8" s="24"/>
      <c r="AEB8" s="24"/>
      <c r="AEC8" s="24"/>
      <c r="AED8" s="24"/>
      <c r="AEE8" s="24"/>
      <c r="AEF8" s="24"/>
      <c r="AEG8" s="24"/>
      <c r="AEH8" s="24"/>
      <c r="AEI8" s="24"/>
      <c r="AEJ8" s="24"/>
      <c r="AEK8" s="24"/>
      <c r="AEL8" s="24"/>
      <c r="AEM8" s="24"/>
      <c r="AEN8" s="24"/>
      <c r="AEO8" s="24"/>
      <c r="AEP8" s="24"/>
      <c r="AEQ8" s="24"/>
      <c r="AER8" s="24"/>
      <c r="AES8" s="24"/>
      <c r="AET8" s="24"/>
      <c r="AEU8" s="24"/>
      <c r="AEV8" s="24"/>
      <c r="AEW8" s="24"/>
      <c r="AEX8" s="24"/>
      <c r="AEY8" s="24"/>
      <c r="AEZ8" s="24"/>
      <c r="AFA8" s="24"/>
      <c r="AFB8" s="24"/>
      <c r="AFC8" s="24"/>
      <c r="AFD8" s="24"/>
      <c r="AFE8" s="24"/>
      <c r="AFF8" s="24"/>
      <c r="AFG8" s="24"/>
      <c r="AFH8" s="24"/>
      <c r="AFI8" s="24"/>
      <c r="AFJ8" s="24"/>
      <c r="AFK8" s="24"/>
      <c r="AFL8" s="24"/>
      <c r="AFM8" s="24"/>
      <c r="AFN8" s="24"/>
      <c r="AFO8" s="24"/>
      <c r="AFP8" s="24"/>
      <c r="AFQ8" s="24"/>
      <c r="AFR8" s="24"/>
      <c r="AFS8" s="24"/>
      <c r="AFT8" s="24"/>
      <c r="AFU8" s="24"/>
      <c r="AFV8" s="24"/>
      <c r="AFW8" s="24"/>
      <c r="AFX8" s="24"/>
      <c r="AFY8" s="24"/>
      <c r="AFZ8" s="24"/>
      <c r="AGA8" s="24"/>
      <c r="AGB8" s="24"/>
      <c r="AGC8" s="24"/>
      <c r="AGD8" s="24"/>
      <c r="AGE8" s="24"/>
      <c r="AGF8" s="24"/>
      <c r="AGG8" s="24"/>
      <c r="AGH8" s="24"/>
      <c r="AGI8" s="24"/>
      <c r="AGJ8" s="24"/>
      <c r="AGK8" s="24"/>
      <c r="AGL8" s="24"/>
      <c r="AGM8" s="24"/>
      <c r="AGN8" s="24"/>
      <c r="AGO8" s="24"/>
      <c r="AGP8" s="24"/>
      <c r="AGQ8" s="24"/>
      <c r="AGR8" s="24"/>
      <c r="AGS8" s="24"/>
      <c r="AGT8" s="24"/>
      <c r="AGU8" s="24"/>
      <c r="AGV8" s="24"/>
      <c r="AGW8" s="24"/>
      <c r="AGX8" s="24"/>
      <c r="AGY8" s="24"/>
      <c r="AGZ8" s="24"/>
      <c r="AHA8" s="24"/>
      <c r="AHB8" s="24"/>
      <c r="AHC8" s="24"/>
      <c r="AHD8" s="24"/>
      <c r="AHE8" s="24"/>
      <c r="AHF8" s="24"/>
      <c r="AHG8" s="24"/>
      <c r="AHH8" s="24"/>
      <c r="AHI8" s="24"/>
      <c r="AHJ8" s="24"/>
      <c r="AHK8" s="24"/>
      <c r="AHL8" s="24"/>
      <c r="AHM8" s="24"/>
      <c r="AHN8" s="24"/>
      <c r="AHO8" s="24"/>
      <c r="AHP8" s="24"/>
      <c r="AHQ8" s="24"/>
      <c r="AHR8" s="24"/>
      <c r="AHS8" s="24"/>
      <c r="AHT8" s="24"/>
      <c r="AHU8" s="24"/>
      <c r="AHV8" s="24"/>
      <c r="AHW8" s="24"/>
      <c r="AHX8" s="24"/>
      <c r="AHY8" s="24"/>
      <c r="AHZ8" s="24"/>
      <c r="AIA8" s="24"/>
      <c r="AIB8" s="24"/>
      <c r="AIC8" s="24"/>
      <c r="AID8" s="24"/>
      <c r="AIE8" s="24"/>
      <c r="AIF8" s="24"/>
      <c r="AIG8" s="24"/>
      <c r="AIH8" s="24"/>
      <c r="AII8" s="24"/>
      <c r="AIJ8" s="24"/>
      <c r="AIK8" s="24"/>
      <c r="AIL8" s="24"/>
      <c r="AIM8" s="24"/>
      <c r="AIN8" s="24"/>
      <c r="AIO8" s="24"/>
      <c r="AIP8" s="24"/>
      <c r="AIQ8" s="24"/>
      <c r="AIR8" s="24"/>
      <c r="AIS8" s="24"/>
      <c r="AIT8" s="24"/>
      <c r="AIU8" s="24"/>
      <c r="AIV8" s="24"/>
      <c r="AIW8" s="24"/>
      <c r="AIX8" s="24"/>
      <c r="AIY8" s="24"/>
      <c r="AIZ8" s="24"/>
      <c r="AJA8" s="24"/>
      <c r="AJB8" s="24"/>
      <c r="AJC8" s="24"/>
      <c r="AJD8" s="24"/>
      <c r="AJE8" s="24"/>
      <c r="AJF8" s="24"/>
      <c r="AJG8" s="24"/>
      <c r="AJH8" s="24"/>
      <c r="AJI8" s="24"/>
      <c r="AJJ8" s="24"/>
      <c r="AJK8" s="24"/>
      <c r="AJL8" s="24"/>
      <c r="AJM8" s="24"/>
      <c r="AJN8" s="24"/>
      <c r="AJO8" s="24"/>
      <c r="AJP8" s="24"/>
      <c r="AJQ8" s="24"/>
      <c r="AJR8" s="24"/>
      <c r="AJS8" s="24"/>
      <c r="AJT8" s="24"/>
      <c r="AJU8" s="24"/>
      <c r="AJV8" s="24"/>
      <c r="AJW8" s="24"/>
      <c r="AJX8" s="24"/>
      <c r="AJY8" s="24"/>
      <c r="AJZ8" s="24"/>
      <c r="AKA8" s="24"/>
      <c r="AKB8" s="24"/>
      <c r="AKC8" s="24"/>
      <c r="AKD8" s="24"/>
      <c r="AKE8" s="24"/>
      <c r="AKF8" s="24"/>
      <c r="AKG8" s="24"/>
      <c r="AKH8" s="24"/>
      <c r="AKI8" s="24"/>
      <c r="AKJ8" s="24"/>
      <c r="AKK8" s="24"/>
      <c r="AKL8" s="24"/>
      <c r="AKM8" s="24"/>
      <c r="AKN8" s="24"/>
      <c r="AKO8" s="24"/>
      <c r="AKP8" s="24"/>
      <c r="AKQ8" s="24"/>
      <c r="AKR8" s="24"/>
      <c r="AKS8" s="24"/>
      <c r="AKT8" s="24"/>
      <c r="AKU8" s="24"/>
      <c r="AKV8" s="24"/>
      <c r="AKW8" s="24"/>
      <c r="AKX8" s="24"/>
      <c r="AKY8" s="24"/>
      <c r="AKZ8" s="24"/>
      <c r="ALA8" s="24"/>
      <c r="ALB8" s="24"/>
      <c r="ALC8" s="24"/>
      <c r="ALD8" s="24"/>
      <c r="ALE8" s="24"/>
      <c r="ALF8" s="24"/>
      <c r="ALG8" s="24"/>
      <c r="ALH8" s="24"/>
      <c r="ALI8" s="24"/>
      <c r="ALJ8" s="24"/>
      <c r="ALK8" s="24"/>
      <c r="ALL8" s="24"/>
      <c r="ALM8" s="24"/>
      <c r="ALN8" s="24"/>
      <c r="ALO8" s="24"/>
      <c r="ALP8" s="24"/>
      <c r="ALQ8" s="24"/>
      <c r="ALR8" s="24"/>
      <c r="ALS8" s="24"/>
      <c r="ALT8" s="24"/>
      <c r="ALU8" s="24"/>
      <c r="ALV8" s="24"/>
      <c r="ALW8" s="24"/>
      <c r="ALX8" s="24"/>
      <c r="ALY8" s="24"/>
      <c r="ALZ8" s="24"/>
      <c r="AMA8" s="24"/>
      <c r="AMB8" s="24"/>
      <c r="AMC8" s="24"/>
      <c r="AMD8" s="24"/>
      <c r="AME8" s="24"/>
      <c r="AMF8" s="24"/>
      <c r="AMG8" s="24"/>
      <c r="AMH8" s="24"/>
      <c r="AMI8" s="24"/>
      <c r="AMJ8" s="24"/>
      <c r="AMK8" s="24"/>
      <c r="AML8" s="24"/>
      <c r="AMM8" s="24"/>
      <c r="AMN8" s="24"/>
      <c r="AMO8" s="24"/>
      <c r="AMP8" s="24"/>
      <c r="AMQ8" s="24"/>
      <c r="AMR8" s="24"/>
      <c r="AMS8" s="24"/>
      <c r="AMT8" s="24"/>
      <c r="AMU8" s="24"/>
      <c r="AMV8" s="24"/>
      <c r="AMW8" s="24"/>
      <c r="AMX8" s="24"/>
      <c r="AMY8" s="24"/>
      <c r="AMZ8" s="24"/>
      <c r="ANA8" s="24"/>
      <c r="ANB8" s="24"/>
      <c r="ANC8" s="24"/>
      <c r="AND8" s="24"/>
      <c r="ANE8" s="24"/>
      <c r="ANF8" s="24"/>
      <c r="ANG8" s="24"/>
      <c r="ANH8" s="24"/>
      <c r="ANI8" s="24"/>
      <c r="ANJ8" s="24"/>
      <c r="ANK8" s="24"/>
      <c r="ANL8" s="24"/>
      <c r="ANM8" s="24"/>
      <c r="ANN8" s="24"/>
      <c r="ANO8" s="24"/>
      <c r="ANP8" s="24"/>
      <c r="ANQ8" s="24"/>
      <c r="ANR8" s="24"/>
      <c r="ANS8" s="24"/>
      <c r="ANT8" s="24"/>
      <c r="ANU8" s="24"/>
      <c r="ANV8" s="24"/>
      <c r="ANW8" s="24"/>
      <c r="ANX8" s="24"/>
      <c r="ANY8" s="24"/>
      <c r="ANZ8" s="24"/>
      <c r="AOA8" s="24"/>
      <c r="AOB8" s="24"/>
      <c r="AOC8" s="24"/>
      <c r="AOD8" s="24"/>
      <c r="AOE8" s="24"/>
      <c r="AOF8" s="24"/>
      <c r="AOG8" s="24"/>
      <c r="AOH8" s="24"/>
      <c r="AOI8" s="24"/>
      <c r="AOJ8" s="24"/>
      <c r="AOK8" s="24"/>
      <c r="AOL8" s="24"/>
      <c r="AOM8" s="24"/>
      <c r="AON8" s="24"/>
      <c r="AOO8" s="24"/>
      <c r="AOP8" s="24"/>
      <c r="AOQ8" s="24"/>
      <c r="AOR8" s="24"/>
      <c r="AOS8" s="24"/>
      <c r="AOT8" s="24"/>
      <c r="AOU8" s="24"/>
      <c r="AOV8" s="24"/>
      <c r="AOW8" s="24"/>
      <c r="AOX8" s="24"/>
      <c r="AOY8" s="24"/>
      <c r="AOZ8" s="24"/>
      <c r="APA8" s="24"/>
      <c r="APB8" s="24"/>
      <c r="APC8" s="24"/>
      <c r="APD8" s="24"/>
      <c r="APE8" s="24"/>
      <c r="APF8" s="24"/>
      <c r="APG8" s="24"/>
      <c r="APH8" s="24"/>
      <c r="API8" s="24"/>
      <c r="APJ8" s="24"/>
      <c r="APK8" s="24"/>
      <c r="APL8" s="24"/>
      <c r="APM8" s="24"/>
      <c r="APN8" s="24"/>
      <c r="APO8" s="24"/>
      <c r="APP8" s="24"/>
      <c r="APQ8" s="24"/>
      <c r="APR8" s="24"/>
      <c r="APS8" s="24"/>
      <c r="APT8" s="24"/>
      <c r="APU8" s="24"/>
      <c r="APV8" s="24"/>
      <c r="APW8" s="24"/>
      <c r="APX8" s="24"/>
      <c r="APY8" s="24"/>
      <c r="APZ8" s="24"/>
      <c r="AQA8" s="24"/>
      <c r="AQB8" s="24"/>
      <c r="AQC8" s="24"/>
      <c r="AQD8" s="24"/>
      <c r="AQE8" s="24"/>
      <c r="AQF8" s="24"/>
      <c r="AQG8" s="24"/>
      <c r="AQH8" s="24"/>
      <c r="AQI8" s="24"/>
      <c r="AQJ8" s="24"/>
      <c r="AQK8" s="24"/>
      <c r="AQL8" s="24"/>
      <c r="AQM8" s="24"/>
      <c r="AQN8" s="24"/>
      <c r="AQO8" s="24"/>
      <c r="AQP8" s="24"/>
      <c r="AQQ8" s="24"/>
      <c r="AQR8" s="24"/>
      <c r="AQS8" s="24"/>
      <c r="AQT8" s="24"/>
      <c r="AQU8" s="24"/>
      <c r="AQV8" s="24"/>
      <c r="AQW8" s="24"/>
      <c r="AQX8" s="24"/>
      <c r="AQY8" s="24"/>
      <c r="AQZ8" s="24"/>
      <c r="ARA8" s="24"/>
      <c r="ARB8" s="24"/>
      <c r="ARC8" s="24"/>
      <c r="ARD8" s="24"/>
      <c r="ARE8" s="24"/>
      <c r="ARF8" s="24"/>
      <c r="ARG8" s="24"/>
      <c r="ARH8" s="24"/>
      <c r="ARI8" s="24"/>
      <c r="ARJ8" s="24"/>
      <c r="ARK8" s="24"/>
      <c r="ARL8" s="24"/>
      <c r="ARM8" s="24"/>
      <c r="ARN8" s="24"/>
      <c r="ARO8" s="24"/>
      <c r="ARP8" s="24"/>
      <c r="ARQ8" s="24"/>
      <c r="ARR8" s="24"/>
      <c r="ARS8" s="24"/>
      <c r="ART8" s="24"/>
      <c r="ARU8" s="24"/>
      <c r="ARV8" s="24"/>
      <c r="ARW8" s="24"/>
      <c r="ARX8" s="24"/>
      <c r="ARY8" s="24"/>
      <c r="ARZ8" s="24"/>
      <c r="ASA8" s="24"/>
      <c r="ASB8" s="24"/>
      <c r="ASC8" s="24"/>
      <c r="ASD8" s="24"/>
      <c r="ASE8" s="24"/>
      <c r="ASF8" s="24"/>
      <c r="ASG8" s="24"/>
      <c r="ASH8" s="24"/>
      <c r="ASI8" s="24"/>
      <c r="ASJ8" s="24"/>
      <c r="ASK8" s="24"/>
      <c r="ASL8" s="24"/>
      <c r="ASM8" s="24"/>
      <c r="ASN8" s="24"/>
      <c r="ASO8" s="24"/>
      <c r="ASP8" s="24"/>
      <c r="ASQ8" s="24"/>
      <c r="ASR8" s="24"/>
      <c r="ASS8" s="24"/>
      <c r="AST8" s="24"/>
      <c r="ASU8" s="24"/>
      <c r="ASV8" s="24"/>
      <c r="ASW8" s="24"/>
      <c r="ASX8" s="24"/>
      <c r="ASY8" s="24"/>
      <c r="ASZ8" s="24"/>
      <c r="ATA8" s="24"/>
      <c r="ATB8" s="24"/>
      <c r="ATC8" s="24"/>
      <c r="ATD8" s="24"/>
      <c r="ATE8" s="24"/>
      <c r="ATF8" s="24"/>
      <c r="ATG8" s="24"/>
      <c r="ATH8" s="24"/>
      <c r="ATI8" s="24"/>
      <c r="ATJ8" s="24"/>
      <c r="ATK8" s="24"/>
      <c r="ATL8" s="24"/>
      <c r="ATM8" s="24"/>
      <c r="ATN8" s="24"/>
      <c r="ATO8" s="24"/>
      <c r="ATP8" s="24"/>
      <c r="ATQ8" s="24"/>
      <c r="ATR8" s="24"/>
      <c r="ATS8" s="24"/>
      <c r="ATT8" s="24"/>
      <c r="ATU8" s="24"/>
      <c r="ATV8" s="24"/>
      <c r="ATW8" s="24"/>
      <c r="ATX8" s="24"/>
      <c r="ATY8" s="24"/>
      <c r="ATZ8" s="24"/>
      <c r="AUA8" s="24"/>
      <c r="AUB8" s="24"/>
      <c r="AUC8" s="24"/>
      <c r="AUD8" s="24"/>
      <c r="AUE8" s="24"/>
      <c r="AUF8" s="24"/>
      <c r="AUG8" s="24"/>
      <c r="AUH8" s="24"/>
      <c r="AUI8" s="24"/>
      <c r="AUJ8" s="24"/>
      <c r="AUK8" s="24"/>
      <c r="AUL8" s="24"/>
      <c r="AUM8" s="24"/>
      <c r="AUN8" s="24"/>
      <c r="AUO8" s="24"/>
      <c r="AUP8" s="24"/>
      <c r="AUQ8" s="24"/>
      <c r="AUR8" s="24"/>
      <c r="AUS8" s="24"/>
      <c r="AUT8" s="24"/>
      <c r="AUU8" s="24"/>
      <c r="AUV8" s="24"/>
      <c r="AUW8" s="24"/>
      <c r="AUX8" s="24"/>
      <c r="AUY8" s="24"/>
      <c r="AUZ8" s="24"/>
      <c r="AVA8" s="24"/>
      <c r="AVB8" s="24"/>
      <c r="AVC8" s="24"/>
      <c r="AVD8" s="24"/>
      <c r="AVE8" s="24"/>
      <c r="AVF8" s="24"/>
      <c r="AVG8" s="24"/>
      <c r="AVH8" s="24"/>
      <c r="AVI8" s="24"/>
      <c r="AVJ8" s="24"/>
      <c r="AVK8" s="24"/>
      <c r="AVL8" s="24"/>
      <c r="AVM8" s="24"/>
      <c r="AVN8" s="24"/>
      <c r="AVO8" s="24"/>
      <c r="AVP8" s="24"/>
      <c r="AVQ8" s="24"/>
      <c r="AVR8" s="24"/>
      <c r="AVS8" s="24"/>
      <c r="AVT8" s="24"/>
      <c r="AVU8" s="24"/>
      <c r="AVV8" s="24"/>
      <c r="AVW8" s="24"/>
      <c r="AVX8" s="24"/>
      <c r="AVY8" s="24"/>
      <c r="AVZ8" s="24"/>
      <c r="AWA8" s="24"/>
      <c r="AWB8" s="24"/>
      <c r="AWC8" s="24"/>
      <c r="AWD8" s="24"/>
      <c r="AWE8" s="24"/>
      <c r="AWF8" s="24"/>
      <c r="AWG8" s="24"/>
      <c r="AWH8" s="24"/>
      <c r="AWI8" s="24"/>
      <c r="AWJ8" s="24"/>
      <c r="AWK8" s="24"/>
      <c r="AWL8" s="24"/>
      <c r="AWM8" s="24"/>
      <c r="AWN8" s="24"/>
      <c r="AWO8" s="24"/>
      <c r="AWP8" s="24"/>
      <c r="AWQ8" s="24"/>
      <c r="AWR8" s="24"/>
      <c r="AWS8" s="24"/>
      <c r="AWT8" s="24"/>
      <c r="AWU8" s="24"/>
      <c r="AWV8" s="24"/>
      <c r="AWW8" s="24"/>
      <c r="AWX8" s="24"/>
      <c r="AWY8" s="24"/>
      <c r="AWZ8" s="24"/>
      <c r="AXA8" s="24"/>
      <c r="AXB8" s="24"/>
      <c r="AXC8" s="24"/>
      <c r="AXD8" s="24"/>
      <c r="AXE8" s="24"/>
      <c r="AXF8" s="24"/>
      <c r="AXG8" s="24"/>
      <c r="AXH8" s="24"/>
      <c r="AXI8" s="24"/>
      <c r="AXJ8" s="24"/>
      <c r="AXK8" s="24"/>
      <c r="AXL8" s="24"/>
      <c r="AXM8" s="24"/>
      <c r="AXN8" s="24"/>
      <c r="AXO8" s="24"/>
      <c r="AXP8" s="24"/>
      <c r="AXQ8" s="24"/>
      <c r="AXR8" s="24"/>
      <c r="AXS8" s="24"/>
      <c r="AXT8" s="24"/>
      <c r="AXU8" s="24"/>
      <c r="AXV8" s="24"/>
      <c r="AXW8" s="24"/>
      <c r="AXX8" s="24"/>
      <c r="AXY8" s="24"/>
      <c r="AXZ8" s="24"/>
      <c r="AYA8" s="24"/>
      <c r="AYB8" s="24"/>
      <c r="AYC8" s="24"/>
      <c r="AYD8" s="24"/>
      <c r="AYE8" s="24"/>
      <c r="AYF8" s="24"/>
      <c r="AYG8" s="24"/>
      <c r="AYH8" s="24"/>
      <c r="AYI8" s="24"/>
      <c r="AYJ8" s="24"/>
      <c r="AYK8" s="24"/>
      <c r="AYL8" s="24"/>
      <c r="AYM8" s="24"/>
      <c r="AYN8" s="24"/>
      <c r="AYO8" s="24"/>
      <c r="AYP8" s="24"/>
      <c r="AYQ8" s="24"/>
      <c r="AYR8" s="24"/>
      <c r="AYS8" s="24"/>
      <c r="AYT8" s="24"/>
      <c r="AYU8" s="24"/>
      <c r="AYV8" s="24"/>
      <c r="AYW8" s="24"/>
      <c r="AYX8" s="24"/>
      <c r="AYY8" s="24"/>
      <c r="AYZ8" s="24"/>
      <c r="AZA8" s="24"/>
      <c r="AZB8" s="24"/>
      <c r="AZC8" s="24"/>
      <c r="AZD8" s="24"/>
      <c r="AZE8" s="24"/>
      <c r="AZF8" s="24"/>
      <c r="AZG8" s="24"/>
      <c r="AZH8" s="24"/>
      <c r="AZI8" s="24"/>
      <c r="AZJ8" s="24"/>
      <c r="AZK8" s="24"/>
      <c r="AZL8" s="24"/>
      <c r="AZM8" s="24"/>
      <c r="AZN8" s="24"/>
      <c r="AZO8" s="24"/>
      <c r="AZP8" s="24"/>
      <c r="AZQ8" s="24"/>
      <c r="AZR8" s="24"/>
      <c r="AZS8" s="24"/>
      <c r="AZT8" s="24"/>
      <c r="AZU8" s="24"/>
      <c r="AZV8" s="24"/>
      <c r="AZW8" s="24"/>
      <c r="AZX8" s="24"/>
      <c r="AZY8" s="24"/>
      <c r="AZZ8" s="24"/>
      <c r="BAA8" s="24"/>
      <c r="BAB8" s="24"/>
      <c r="BAC8" s="24"/>
      <c r="BAD8" s="24"/>
      <c r="BAE8" s="24"/>
      <c r="BAF8" s="24"/>
      <c r="BAG8" s="24"/>
      <c r="BAH8" s="24"/>
      <c r="BAI8" s="24"/>
      <c r="BAJ8" s="24"/>
      <c r="BAK8" s="24"/>
      <c r="BAL8" s="24"/>
      <c r="BAM8" s="24"/>
      <c r="BAN8" s="24"/>
      <c r="BAO8" s="24"/>
      <c r="BAP8" s="24"/>
      <c r="BAQ8" s="24"/>
      <c r="BAR8" s="24"/>
      <c r="BAS8" s="24"/>
      <c r="BAT8" s="24"/>
      <c r="BAU8" s="24"/>
      <c r="BAV8" s="24"/>
      <c r="BAW8" s="24"/>
      <c r="BAX8" s="24"/>
      <c r="BAY8" s="24"/>
      <c r="BAZ8" s="24"/>
      <c r="BBA8" s="24"/>
      <c r="BBB8" s="24"/>
      <c r="BBC8" s="24"/>
      <c r="BBD8" s="24"/>
      <c r="BBE8" s="24"/>
      <c r="BBF8" s="24"/>
      <c r="BBG8" s="24"/>
      <c r="BBH8" s="24"/>
      <c r="BBI8" s="24"/>
      <c r="BBJ8" s="24"/>
      <c r="BBK8" s="24"/>
      <c r="BBL8" s="24"/>
      <c r="BBM8" s="24"/>
      <c r="BBN8" s="24"/>
      <c r="BBO8" s="24"/>
      <c r="BBP8" s="24"/>
      <c r="BBQ8" s="24"/>
      <c r="BBR8" s="24"/>
      <c r="BBS8" s="24"/>
      <c r="BBT8" s="24"/>
      <c r="BBU8" s="24"/>
      <c r="BBV8" s="24"/>
      <c r="BBW8" s="24"/>
      <c r="BBX8" s="24"/>
      <c r="BBY8" s="24"/>
      <c r="BBZ8" s="24"/>
      <c r="BCA8" s="24"/>
      <c r="BCB8" s="24"/>
      <c r="BCC8" s="24"/>
      <c r="BCD8" s="24"/>
      <c r="BCE8" s="24"/>
      <c r="BCF8" s="24"/>
      <c r="BCG8" s="24"/>
      <c r="BCH8" s="24"/>
      <c r="BCI8" s="24"/>
      <c r="BCJ8" s="24"/>
      <c r="BCK8" s="24"/>
      <c r="BCL8" s="24"/>
      <c r="BCM8" s="24"/>
      <c r="BCN8" s="24"/>
      <c r="BCO8" s="24"/>
      <c r="BCP8" s="24"/>
      <c r="BCQ8" s="24"/>
      <c r="BCR8" s="24"/>
      <c r="BCS8" s="24"/>
      <c r="BCT8" s="24"/>
      <c r="BCU8" s="24"/>
      <c r="BCV8" s="24"/>
      <c r="BCW8" s="24"/>
      <c r="BCX8" s="24"/>
      <c r="BCY8" s="24"/>
      <c r="BCZ8" s="24"/>
      <c r="BDA8" s="24"/>
      <c r="BDB8" s="24"/>
      <c r="BDC8" s="24"/>
      <c r="BDD8" s="24"/>
      <c r="BDE8" s="24"/>
      <c r="BDF8" s="24"/>
      <c r="BDG8" s="24"/>
      <c r="BDH8" s="24"/>
      <c r="BDI8" s="24"/>
      <c r="BDJ8" s="24"/>
      <c r="BDK8" s="24"/>
      <c r="BDL8" s="24"/>
      <c r="BDM8" s="24"/>
      <c r="BDN8" s="24"/>
      <c r="BDO8" s="24"/>
      <c r="BDP8" s="24"/>
      <c r="BDQ8" s="24"/>
      <c r="BDR8" s="24"/>
      <c r="BDS8" s="24"/>
      <c r="BDT8" s="24"/>
      <c r="BDU8" s="24"/>
      <c r="BDV8" s="24"/>
      <c r="BDW8" s="24"/>
      <c r="BDX8" s="24"/>
      <c r="BDY8" s="24"/>
      <c r="BDZ8" s="24"/>
      <c r="BEA8" s="24"/>
      <c r="BEB8" s="24"/>
      <c r="BEC8" s="24"/>
      <c r="BED8" s="24"/>
      <c r="BEE8" s="24"/>
      <c r="BEF8" s="24"/>
      <c r="BEG8" s="24"/>
      <c r="BEH8" s="24"/>
      <c r="BEI8" s="24"/>
      <c r="BEJ8" s="24"/>
      <c r="BEK8" s="24"/>
      <c r="BEL8" s="24"/>
      <c r="BEM8" s="24"/>
      <c r="BEN8" s="24"/>
      <c r="BEO8" s="24"/>
      <c r="BEP8" s="24"/>
      <c r="BEQ8" s="24"/>
      <c r="BER8" s="24"/>
      <c r="BES8" s="24"/>
      <c r="BET8" s="24"/>
      <c r="BEU8" s="24"/>
      <c r="BEV8" s="24"/>
      <c r="BEW8" s="24"/>
      <c r="BEX8" s="24"/>
      <c r="BEY8" s="24"/>
      <c r="BEZ8" s="24"/>
      <c r="BFA8" s="24"/>
      <c r="BFB8" s="24"/>
      <c r="BFC8" s="24"/>
      <c r="BFD8" s="24"/>
      <c r="BFE8" s="24"/>
      <c r="BFF8" s="24"/>
      <c r="BFG8" s="24"/>
      <c r="BFH8" s="24"/>
      <c r="BFI8" s="24"/>
      <c r="BFJ8" s="24"/>
      <c r="BFK8" s="24"/>
      <c r="BFL8" s="24"/>
      <c r="BFM8" s="24"/>
      <c r="BFN8" s="24"/>
      <c r="BFO8" s="24"/>
      <c r="BFP8" s="24"/>
      <c r="BFQ8" s="24"/>
      <c r="BFR8" s="24"/>
      <c r="BFS8" s="24"/>
      <c r="BFT8" s="24"/>
      <c r="BFU8" s="24"/>
      <c r="BFV8" s="24"/>
      <c r="BFW8" s="24"/>
      <c r="BFX8" s="24"/>
      <c r="BFY8" s="24"/>
      <c r="BFZ8" s="24"/>
      <c r="BGA8" s="24"/>
      <c r="BGB8" s="24"/>
      <c r="BGC8" s="24"/>
      <c r="BGD8" s="24"/>
      <c r="BGE8" s="24"/>
      <c r="BGF8" s="24"/>
      <c r="BGG8" s="24"/>
      <c r="BGH8" s="24"/>
      <c r="BGI8" s="24"/>
      <c r="BGJ8" s="24"/>
      <c r="BGK8" s="24"/>
      <c r="BGL8" s="24"/>
      <c r="BGM8" s="24"/>
      <c r="BGN8" s="24"/>
      <c r="BGO8" s="24"/>
      <c r="BGP8" s="24"/>
      <c r="BGQ8" s="24"/>
      <c r="BGR8" s="24"/>
      <c r="BGS8" s="24"/>
      <c r="BGT8" s="24"/>
      <c r="BGU8" s="24"/>
      <c r="BGV8" s="24"/>
      <c r="BGW8" s="24"/>
      <c r="BGX8" s="24"/>
      <c r="BGY8" s="24"/>
      <c r="BGZ8" s="24"/>
      <c r="BHA8" s="24"/>
      <c r="BHB8" s="24"/>
      <c r="BHC8" s="24"/>
      <c r="BHD8" s="24"/>
      <c r="BHE8" s="24"/>
      <c r="BHF8" s="24"/>
      <c r="BHG8" s="24"/>
      <c r="BHH8" s="24"/>
      <c r="BHI8" s="24"/>
      <c r="BHJ8" s="24"/>
      <c r="BHK8" s="24"/>
      <c r="BHL8" s="24"/>
      <c r="BHM8" s="24"/>
      <c r="BHN8" s="24"/>
      <c r="BHO8" s="24"/>
      <c r="BHP8" s="24"/>
      <c r="BHQ8" s="24"/>
      <c r="BHR8" s="24"/>
      <c r="BHS8" s="24"/>
      <c r="BHT8" s="24"/>
      <c r="BHU8" s="24"/>
      <c r="BHV8" s="24"/>
      <c r="BHW8" s="24"/>
      <c r="BHX8" s="24"/>
      <c r="BHY8" s="24"/>
      <c r="BHZ8" s="24"/>
      <c r="BIA8" s="24"/>
      <c r="BIB8" s="24"/>
      <c r="BIC8" s="24"/>
      <c r="BID8" s="24"/>
      <c r="BIE8" s="24"/>
      <c r="BIF8" s="24"/>
      <c r="BIG8" s="24"/>
      <c r="BIH8" s="24"/>
      <c r="BII8" s="24"/>
      <c r="BIJ8" s="24"/>
      <c r="BIK8" s="24"/>
      <c r="BIL8" s="24"/>
      <c r="BIM8" s="24"/>
      <c r="BIN8" s="24"/>
      <c r="BIO8" s="24"/>
      <c r="BIP8" s="24"/>
      <c r="BIQ8" s="24"/>
      <c r="BIR8" s="24"/>
      <c r="BIS8" s="24"/>
      <c r="BIT8" s="24"/>
      <c r="BIU8" s="24"/>
      <c r="BIV8" s="24"/>
      <c r="BIW8" s="24"/>
      <c r="BIX8" s="24"/>
      <c r="BIY8" s="24"/>
      <c r="BIZ8" s="24"/>
      <c r="BJA8" s="24"/>
      <c r="BJB8" s="24"/>
      <c r="BJC8" s="24"/>
      <c r="BJD8" s="24"/>
      <c r="BJE8" s="24"/>
      <c r="BJF8" s="24"/>
      <c r="BJG8" s="24"/>
      <c r="BJH8" s="24"/>
      <c r="BJI8" s="24"/>
      <c r="BJJ8" s="24"/>
      <c r="BJK8" s="24"/>
      <c r="BJL8" s="24"/>
      <c r="BJM8" s="24"/>
      <c r="BJN8" s="24"/>
      <c r="BJO8" s="24"/>
      <c r="BJP8" s="24"/>
      <c r="BJQ8" s="24"/>
      <c r="BJR8" s="24"/>
      <c r="BJS8" s="24"/>
      <c r="BJT8" s="24"/>
      <c r="BJU8" s="24"/>
      <c r="BJV8" s="24"/>
      <c r="BJW8" s="24"/>
      <c r="BJX8" s="24"/>
      <c r="BJY8" s="24"/>
      <c r="BJZ8" s="24"/>
      <c r="BKA8" s="24"/>
      <c r="BKB8" s="24"/>
      <c r="BKC8" s="24"/>
      <c r="BKD8" s="24"/>
      <c r="BKE8" s="24"/>
      <c r="BKF8" s="24"/>
      <c r="BKG8" s="24"/>
      <c r="BKH8" s="24"/>
      <c r="BKI8" s="24"/>
      <c r="BKJ8" s="24"/>
      <c r="BKK8" s="24"/>
      <c r="BKL8" s="24"/>
      <c r="BKM8" s="24"/>
      <c r="BKN8" s="24"/>
      <c r="BKO8" s="24"/>
      <c r="BKP8" s="24"/>
      <c r="BKQ8" s="24"/>
      <c r="BKR8" s="24"/>
      <c r="BKS8" s="24"/>
      <c r="BKT8" s="24"/>
      <c r="BKU8" s="24"/>
      <c r="BKV8" s="24"/>
      <c r="BKW8" s="24"/>
      <c r="BKX8" s="24"/>
      <c r="BKY8" s="24"/>
      <c r="BKZ8" s="24"/>
      <c r="BLA8" s="24"/>
      <c r="BLB8" s="24"/>
      <c r="BLC8" s="24"/>
      <c r="BLD8" s="24"/>
      <c r="BLE8" s="24"/>
      <c r="BLF8" s="24"/>
      <c r="BLG8" s="24"/>
      <c r="BLH8" s="24"/>
      <c r="BLI8" s="24"/>
      <c r="BLJ8" s="24"/>
      <c r="BLK8" s="24"/>
      <c r="BLL8" s="24"/>
      <c r="BLM8" s="24"/>
      <c r="BLN8" s="24"/>
      <c r="BLO8" s="24"/>
      <c r="BLP8" s="24"/>
      <c r="BLQ8" s="24"/>
      <c r="BLR8" s="24"/>
      <c r="BLS8" s="24"/>
      <c r="BLT8" s="24"/>
      <c r="BLU8" s="24"/>
      <c r="BLV8" s="24"/>
      <c r="BLW8" s="24"/>
      <c r="BLX8" s="24"/>
      <c r="BLY8" s="24"/>
      <c r="BLZ8" s="24"/>
      <c r="BMA8" s="24"/>
      <c r="BMB8" s="24"/>
      <c r="BMC8" s="24"/>
      <c r="BMD8" s="24"/>
      <c r="BME8" s="24"/>
      <c r="BMF8" s="24"/>
      <c r="BMG8" s="24"/>
      <c r="BMH8" s="24"/>
      <c r="BMI8" s="24"/>
      <c r="BMJ8" s="24"/>
      <c r="BMK8" s="24"/>
      <c r="BML8" s="24"/>
      <c r="BMM8" s="24"/>
      <c r="BMN8" s="24"/>
      <c r="BMO8" s="24"/>
      <c r="BMP8" s="24"/>
      <c r="BMQ8" s="24"/>
      <c r="BMR8" s="24"/>
      <c r="BMS8" s="24"/>
      <c r="BMT8" s="24"/>
      <c r="BMU8" s="24"/>
      <c r="BMV8" s="24"/>
      <c r="BMW8" s="24"/>
      <c r="BMX8" s="24"/>
      <c r="BMY8" s="24"/>
      <c r="BMZ8" s="24"/>
      <c r="BNA8" s="24"/>
      <c r="BNB8" s="24"/>
      <c r="BNC8" s="24"/>
      <c r="BND8" s="24"/>
      <c r="BNE8" s="24"/>
      <c r="BNF8" s="24"/>
      <c r="BNG8" s="24"/>
      <c r="BNH8" s="24"/>
      <c r="BNI8" s="24"/>
      <c r="BNJ8" s="24"/>
      <c r="BNK8" s="24"/>
      <c r="BNL8" s="24"/>
      <c r="BNM8" s="24"/>
      <c r="BNN8" s="24"/>
      <c r="BNO8" s="24"/>
      <c r="BNP8" s="24"/>
      <c r="BNQ8" s="24"/>
      <c r="BNR8" s="24"/>
      <c r="BNS8" s="24"/>
      <c r="BNT8" s="24"/>
      <c r="BNU8" s="24"/>
      <c r="BNV8" s="24"/>
      <c r="BNW8" s="24"/>
      <c r="BNX8" s="24"/>
      <c r="BNY8" s="24"/>
      <c r="BNZ8" s="24"/>
      <c r="BOA8" s="24"/>
      <c r="BOB8" s="24"/>
      <c r="BOC8" s="24"/>
      <c r="BOD8" s="24"/>
      <c r="BOE8" s="24"/>
      <c r="BOF8" s="24"/>
      <c r="BOG8" s="24"/>
      <c r="BOH8" s="24"/>
      <c r="BOI8" s="24"/>
      <c r="BOJ8" s="24"/>
      <c r="BOK8" s="24"/>
      <c r="BOL8" s="24"/>
      <c r="BOM8" s="24"/>
      <c r="BON8" s="24"/>
      <c r="BOO8" s="24"/>
      <c r="BOP8" s="24"/>
      <c r="BOQ8" s="24"/>
      <c r="BOR8" s="24"/>
      <c r="BOS8" s="24"/>
      <c r="BOT8" s="24"/>
      <c r="BOU8" s="24"/>
      <c r="BOV8" s="24"/>
      <c r="BOW8" s="24"/>
      <c r="BOX8" s="24"/>
      <c r="BOY8" s="24"/>
      <c r="BOZ8" s="24"/>
      <c r="BPA8" s="24"/>
      <c r="BPB8" s="24"/>
      <c r="BPC8" s="24"/>
      <c r="BPD8" s="24"/>
      <c r="BPE8" s="24"/>
      <c r="BPF8" s="24"/>
      <c r="BPG8" s="24"/>
      <c r="BPH8" s="24"/>
      <c r="BPI8" s="24"/>
      <c r="BPJ8" s="24"/>
      <c r="BPK8" s="24"/>
      <c r="BPL8" s="24"/>
      <c r="BPM8" s="24"/>
      <c r="BPN8" s="24"/>
      <c r="BPO8" s="24"/>
      <c r="BPP8" s="24"/>
      <c r="BPQ8" s="24"/>
      <c r="BPR8" s="24"/>
      <c r="BPS8" s="24"/>
      <c r="BPT8" s="24"/>
      <c r="BPU8" s="24"/>
      <c r="BPV8" s="24"/>
      <c r="BPW8" s="24"/>
      <c r="BPX8" s="24"/>
      <c r="BPY8" s="24"/>
      <c r="BPZ8" s="24"/>
      <c r="BQA8" s="24"/>
      <c r="BQB8" s="24"/>
      <c r="BQC8" s="24"/>
      <c r="BQD8" s="24"/>
      <c r="BQE8" s="24"/>
      <c r="BQF8" s="24"/>
      <c r="BQG8" s="24"/>
      <c r="BQH8" s="24"/>
      <c r="BQI8" s="24"/>
      <c r="BQJ8" s="24"/>
      <c r="BQK8" s="24"/>
      <c r="BQL8" s="24"/>
      <c r="BQM8" s="24"/>
      <c r="BQN8" s="24"/>
      <c r="BQO8" s="24"/>
      <c r="BQP8" s="24"/>
      <c r="BQQ8" s="24"/>
      <c r="BQR8" s="24"/>
      <c r="BQS8" s="24"/>
      <c r="BQT8" s="24"/>
      <c r="BQU8" s="24"/>
      <c r="BQV8" s="24"/>
      <c r="BQW8" s="24"/>
      <c r="BQX8" s="24"/>
      <c r="BQY8" s="24"/>
      <c r="BQZ8" s="24"/>
      <c r="BRA8" s="24"/>
      <c r="BRB8" s="24"/>
      <c r="BRC8" s="24"/>
      <c r="BRD8" s="24"/>
      <c r="BRE8" s="24"/>
      <c r="BRF8" s="24"/>
      <c r="BRG8" s="24"/>
      <c r="BRH8" s="24"/>
      <c r="BRI8" s="24"/>
      <c r="BRJ8" s="24"/>
      <c r="BRK8" s="24"/>
      <c r="BRL8" s="24"/>
      <c r="BRM8" s="24"/>
      <c r="BRN8" s="24"/>
      <c r="BRO8" s="24"/>
      <c r="BRP8" s="24"/>
      <c r="BRQ8" s="24"/>
      <c r="BRR8" s="24"/>
      <c r="BRS8" s="24"/>
      <c r="BRT8" s="24"/>
      <c r="BRU8" s="24"/>
      <c r="BRV8" s="24"/>
      <c r="BRW8" s="24"/>
      <c r="BRX8" s="24"/>
      <c r="BRY8" s="24"/>
      <c r="BRZ8" s="24"/>
      <c r="BSA8" s="24"/>
      <c r="BSB8" s="24"/>
      <c r="BSC8" s="24"/>
      <c r="BSD8" s="24"/>
      <c r="BSE8" s="24"/>
      <c r="BSF8" s="24"/>
      <c r="BSG8" s="24"/>
      <c r="BSH8" s="24"/>
      <c r="BSI8" s="24"/>
      <c r="BSJ8" s="24"/>
      <c r="BSK8" s="24"/>
      <c r="BSL8" s="24"/>
      <c r="BSM8" s="24"/>
      <c r="BSN8" s="24"/>
      <c r="BSO8" s="24"/>
      <c r="BSP8" s="24"/>
      <c r="BSQ8" s="24"/>
      <c r="BSR8" s="24"/>
      <c r="BSS8" s="24"/>
      <c r="BST8" s="24"/>
      <c r="BSU8" s="24"/>
      <c r="BSV8" s="24"/>
      <c r="BSW8" s="24"/>
      <c r="BSX8" s="24"/>
      <c r="BSY8" s="24"/>
      <c r="BSZ8" s="24"/>
      <c r="BTA8" s="24"/>
      <c r="BTB8" s="24"/>
      <c r="BTC8" s="24"/>
      <c r="BTD8" s="24"/>
      <c r="BTE8" s="24"/>
      <c r="BTF8" s="24"/>
      <c r="BTG8" s="24"/>
      <c r="BTH8" s="24"/>
      <c r="BTI8" s="24"/>
      <c r="BTJ8" s="24"/>
      <c r="BTK8" s="24"/>
      <c r="BTL8" s="24"/>
      <c r="BTM8" s="24"/>
      <c r="BTN8" s="24"/>
      <c r="BTO8" s="24"/>
      <c r="BTP8" s="24"/>
      <c r="BTQ8" s="24"/>
      <c r="BTR8" s="24"/>
      <c r="BTS8" s="24"/>
      <c r="BTT8" s="24"/>
      <c r="BTU8" s="24"/>
      <c r="BTV8" s="24"/>
      <c r="BTW8" s="24"/>
      <c r="BTX8" s="24"/>
      <c r="BTY8" s="24"/>
      <c r="BTZ8" s="24"/>
      <c r="BUA8" s="24"/>
      <c r="BUB8" s="24"/>
      <c r="BUC8" s="24"/>
      <c r="BUD8" s="24"/>
      <c r="BUE8" s="24"/>
      <c r="BUF8" s="24"/>
      <c r="BUG8" s="24"/>
      <c r="BUH8" s="24"/>
      <c r="BUI8" s="24"/>
      <c r="BUJ8" s="24"/>
      <c r="BUK8" s="24"/>
      <c r="BUL8" s="24"/>
      <c r="BUM8" s="24"/>
      <c r="BUN8" s="24"/>
      <c r="BUO8" s="24"/>
      <c r="BUP8" s="24"/>
      <c r="BUQ8" s="24"/>
      <c r="BUR8" s="24"/>
      <c r="BUS8" s="24"/>
      <c r="BUT8" s="24"/>
      <c r="BUU8" s="24"/>
      <c r="BUV8" s="24"/>
      <c r="BUW8" s="24"/>
      <c r="BUX8" s="24"/>
      <c r="BUY8" s="24"/>
      <c r="BUZ8" s="24"/>
      <c r="BVA8" s="24"/>
      <c r="BVB8" s="24"/>
      <c r="BVC8" s="24"/>
      <c r="BVD8" s="24"/>
      <c r="BVE8" s="24"/>
      <c r="BVF8" s="24"/>
      <c r="BVG8" s="24"/>
      <c r="BVH8" s="24"/>
      <c r="BVI8" s="24"/>
      <c r="BVJ8" s="24"/>
      <c r="BVK8" s="24"/>
      <c r="BVL8" s="24"/>
      <c r="BVM8" s="24"/>
      <c r="BVN8" s="24"/>
      <c r="BVO8" s="24"/>
      <c r="BVP8" s="24"/>
      <c r="BVQ8" s="24"/>
      <c r="BVR8" s="24"/>
      <c r="BVS8" s="24"/>
      <c r="BVT8" s="24"/>
      <c r="BVU8" s="24"/>
      <c r="BVV8" s="24"/>
      <c r="BVW8" s="24"/>
      <c r="BVX8" s="24"/>
      <c r="BVY8" s="24"/>
      <c r="BVZ8" s="24"/>
      <c r="BWA8" s="24"/>
      <c r="BWB8" s="24"/>
      <c r="BWC8" s="24"/>
      <c r="BWD8" s="24"/>
      <c r="BWE8" s="24"/>
      <c r="BWF8" s="24"/>
      <c r="BWG8" s="24"/>
      <c r="BWH8" s="24"/>
      <c r="BWI8" s="24"/>
      <c r="BWJ8" s="24"/>
      <c r="BWK8" s="24"/>
      <c r="BWL8" s="24"/>
      <c r="BWM8" s="24"/>
      <c r="BWN8" s="24"/>
      <c r="BWO8" s="24"/>
      <c r="BWP8" s="24"/>
      <c r="BWQ8" s="24"/>
      <c r="BWR8" s="24"/>
      <c r="BWS8" s="24"/>
      <c r="BWT8" s="24"/>
      <c r="BWU8" s="24"/>
      <c r="BWV8" s="24"/>
      <c r="BWW8" s="24"/>
      <c r="BWX8" s="24"/>
      <c r="BWY8" s="24"/>
      <c r="BWZ8" s="24"/>
      <c r="BXA8" s="24"/>
      <c r="BXB8" s="24"/>
      <c r="BXC8" s="24"/>
      <c r="BXD8" s="24"/>
      <c r="BXE8" s="24"/>
      <c r="BXF8" s="24"/>
      <c r="BXG8" s="24"/>
      <c r="BXH8" s="24"/>
      <c r="BXI8" s="24"/>
      <c r="BXJ8" s="24"/>
      <c r="BXK8" s="24"/>
      <c r="BXL8" s="24"/>
      <c r="BXM8" s="24"/>
      <c r="BXN8" s="24"/>
      <c r="BXO8" s="24"/>
      <c r="BXP8" s="24"/>
      <c r="BXQ8" s="24"/>
      <c r="BXR8" s="24"/>
      <c r="BXS8" s="24"/>
      <c r="BXT8" s="24"/>
      <c r="BXU8" s="24"/>
      <c r="BXV8" s="24"/>
      <c r="BXW8" s="24"/>
      <c r="BXX8" s="24"/>
      <c r="BXY8" s="24"/>
      <c r="BXZ8" s="24"/>
      <c r="BYA8" s="24"/>
      <c r="BYB8" s="24"/>
      <c r="BYC8" s="24"/>
      <c r="BYD8" s="24"/>
      <c r="BYE8" s="24"/>
      <c r="BYF8" s="24"/>
      <c r="BYG8" s="24"/>
      <c r="BYH8" s="24"/>
      <c r="BYI8" s="24"/>
      <c r="BYJ8" s="24"/>
      <c r="BYK8" s="24"/>
      <c r="BYL8" s="24"/>
      <c r="BYM8" s="24"/>
      <c r="BYN8" s="24"/>
      <c r="BYO8" s="24"/>
      <c r="BYP8" s="24"/>
      <c r="BYQ8" s="24"/>
      <c r="BYR8" s="24"/>
      <c r="BYS8" s="24"/>
      <c r="BYT8" s="24"/>
      <c r="BYU8" s="24"/>
      <c r="BYV8" s="24"/>
      <c r="BYW8" s="24"/>
      <c r="BYX8" s="24"/>
      <c r="BYY8" s="24"/>
      <c r="BYZ8" s="24"/>
      <c r="BZA8" s="24"/>
      <c r="BZB8" s="24"/>
      <c r="BZC8" s="24"/>
      <c r="BZD8" s="24"/>
      <c r="BZE8" s="24"/>
      <c r="BZF8" s="24"/>
      <c r="BZG8" s="24"/>
      <c r="BZH8" s="24"/>
      <c r="BZI8" s="24"/>
      <c r="BZJ8" s="24"/>
      <c r="BZK8" s="24"/>
      <c r="BZL8" s="24"/>
      <c r="BZM8" s="24"/>
      <c r="BZN8" s="24"/>
      <c r="BZO8" s="24"/>
      <c r="BZP8" s="24"/>
      <c r="BZQ8" s="24"/>
      <c r="BZR8" s="24"/>
      <c r="BZS8" s="24"/>
      <c r="BZT8" s="24"/>
      <c r="BZU8" s="24"/>
      <c r="BZV8" s="24"/>
      <c r="BZW8" s="24"/>
      <c r="BZX8" s="24"/>
      <c r="BZY8" s="24"/>
      <c r="BZZ8" s="24"/>
      <c r="CAA8" s="24"/>
      <c r="CAB8" s="24"/>
      <c r="CAC8" s="24"/>
      <c r="CAD8" s="24"/>
      <c r="CAE8" s="24"/>
      <c r="CAF8" s="24"/>
      <c r="CAG8" s="24"/>
      <c r="CAH8" s="24"/>
      <c r="CAI8" s="24"/>
      <c r="CAJ8" s="24"/>
      <c r="CAK8" s="24"/>
      <c r="CAL8" s="24"/>
      <c r="CAM8" s="24"/>
      <c r="CAN8" s="24"/>
      <c r="CAO8" s="24"/>
      <c r="CAP8" s="24"/>
      <c r="CAQ8" s="24"/>
      <c r="CAR8" s="24"/>
      <c r="CAS8" s="24"/>
      <c r="CAT8" s="24"/>
      <c r="CAU8" s="24"/>
      <c r="CAV8" s="24"/>
      <c r="CAW8" s="24"/>
      <c r="CAX8" s="24"/>
      <c r="CAY8" s="24"/>
      <c r="CAZ8" s="24"/>
      <c r="CBA8" s="24"/>
      <c r="CBB8" s="24"/>
      <c r="CBC8" s="24"/>
      <c r="CBD8" s="24"/>
      <c r="CBE8" s="24"/>
      <c r="CBF8" s="24"/>
      <c r="CBG8" s="24"/>
      <c r="CBH8" s="24"/>
      <c r="CBI8" s="24"/>
      <c r="CBJ8" s="24"/>
      <c r="CBK8" s="24"/>
      <c r="CBL8" s="24"/>
      <c r="CBM8" s="24"/>
      <c r="CBN8" s="24"/>
      <c r="CBO8" s="24"/>
      <c r="CBP8" s="24"/>
      <c r="CBQ8" s="24"/>
      <c r="CBR8" s="24"/>
      <c r="CBS8" s="24"/>
      <c r="CBT8" s="24"/>
      <c r="CBU8" s="24"/>
      <c r="CBV8" s="24"/>
      <c r="CBW8" s="24"/>
      <c r="CBX8" s="24"/>
      <c r="CBY8" s="24"/>
      <c r="CBZ8" s="24"/>
      <c r="CCA8" s="24"/>
      <c r="CCB8" s="24"/>
      <c r="CCC8" s="24"/>
      <c r="CCD8" s="24"/>
      <c r="CCE8" s="24"/>
      <c r="CCF8" s="24"/>
      <c r="CCG8" s="24"/>
      <c r="CCH8" s="24"/>
      <c r="CCI8" s="24"/>
      <c r="CCJ8" s="24"/>
      <c r="CCK8" s="24"/>
      <c r="CCL8" s="24"/>
      <c r="CCM8" s="24"/>
      <c r="CCN8" s="24"/>
      <c r="CCO8" s="24"/>
      <c r="CCP8" s="24"/>
      <c r="CCQ8" s="24"/>
      <c r="CCR8" s="24"/>
      <c r="CCS8" s="24"/>
      <c r="CCT8" s="24"/>
      <c r="CCU8" s="24"/>
      <c r="CCV8" s="24"/>
      <c r="CCW8" s="24"/>
      <c r="CCX8" s="24"/>
      <c r="CCY8" s="24"/>
      <c r="CCZ8" s="24"/>
      <c r="CDA8" s="24"/>
      <c r="CDB8" s="24"/>
      <c r="CDC8" s="24"/>
      <c r="CDD8" s="24"/>
      <c r="CDE8" s="24"/>
      <c r="CDF8" s="24"/>
      <c r="CDG8" s="24"/>
      <c r="CDH8" s="24"/>
      <c r="CDI8" s="24"/>
      <c r="CDJ8" s="24"/>
      <c r="CDK8" s="24"/>
      <c r="CDL8" s="24"/>
      <c r="CDM8" s="24"/>
      <c r="CDN8" s="24"/>
      <c r="CDO8" s="24"/>
      <c r="CDP8" s="24"/>
      <c r="CDQ8" s="24"/>
      <c r="CDR8" s="24"/>
      <c r="CDS8" s="24"/>
      <c r="CDT8" s="24"/>
      <c r="CDU8" s="24"/>
      <c r="CDV8" s="24"/>
      <c r="CDW8" s="24"/>
      <c r="CDX8" s="24"/>
      <c r="CDY8" s="24"/>
      <c r="CDZ8" s="24"/>
      <c r="CEA8" s="24"/>
      <c r="CEB8" s="24"/>
      <c r="CEC8" s="24"/>
      <c r="CED8" s="24"/>
      <c r="CEE8" s="24"/>
      <c r="CEF8" s="24"/>
      <c r="CEG8" s="24"/>
      <c r="CEH8" s="24"/>
      <c r="CEI8" s="24"/>
      <c r="CEJ8" s="24"/>
      <c r="CEK8" s="24"/>
      <c r="CEL8" s="24"/>
      <c r="CEM8" s="24"/>
      <c r="CEN8" s="24"/>
      <c r="CEO8" s="24"/>
      <c r="CEP8" s="24"/>
      <c r="CEQ8" s="24"/>
      <c r="CER8" s="24"/>
      <c r="CES8" s="24"/>
      <c r="CET8" s="24"/>
      <c r="CEU8" s="24"/>
      <c r="CEV8" s="24"/>
      <c r="CEW8" s="24"/>
      <c r="CEX8" s="24"/>
      <c r="CEY8" s="24"/>
      <c r="CEZ8" s="24"/>
      <c r="CFA8" s="24"/>
      <c r="CFB8" s="24"/>
      <c r="CFC8" s="24"/>
      <c r="CFD8" s="24"/>
      <c r="CFE8" s="24"/>
      <c r="CFF8" s="24"/>
      <c r="CFG8" s="24"/>
      <c r="CFH8" s="24"/>
      <c r="CFI8" s="24"/>
      <c r="CFJ8" s="24"/>
      <c r="CFK8" s="24"/>
      <c r="CFL8" s="24"/>
      <c r="CFM8" s="24"/>
      <c r="CFN8" s="24"/>
      <c r="CFO8" s="24"/>
      <c r="CFP8" s="24"/>
      <c r="CFQ8" s="24"/>
      <c r="CFR8" s="24"/>
      <c r="CFS8" s="24"/>
      <c r="CFT8" s="24"/>
      <c r="CFU8" s="24"/>
      <c r="CFV8" s="24"/>
      <c r="CFW8" s="24"/>
      <c r="CFX8" s="24"/>
      <c r="CFY8" s="24"/>
      <c r="CFZ8" s="24"/>
      <c r="CGA8" s="24"/>
      <c r="CGB8" s="24"/>
      <c r="CGC8" s="24"/>
      <c r="CGD8" s="24"/>
      <c r="CGE8" s="24"/>
      <c r="CGF8" s="24"/>
      <c r="CGG8" s="24"/>
      <c r="CGH8" s="24"/>
      <c r="CGI8" s="24"/>
      <c r="CGJ8" s="24"/>
      <c r="CGK8" s="24"/>
      <c r="CGL8" s="24"/>
      <c r="CGM8" s="24"/>
      <c r="CGN8" s="24"/>
      <c r="CGO8" s="24"/>
      <c r="CGP8" s="24"/>
      <c r="CGQ8" s="24"/>
      <c r="CGR8" s="24"/>
      <c r="CGS8" s="24"/>
      <c r="CGT8" s="24"/>
      <c r="CGU8" s="24"/>
      <c r="CGV8" s="24"/>
      <c r="CGW8" s="24"/>
      <c r="CGX8" s="24"/>
      <c r="CGY8" s="24"/>
      <c r="CGZ8" s="24"/>
      <c r="CHA8" s="24"/>
      <c r="CHB8" s="24"/>
      <c r="CHC8" s="24"/>
      <c r="CHD8" s="24"/>
      <c r="CHE8" s="24"/>
      <c r="CHF8" s="24"/>
      <c r="CHG8" s="24"/>
      <c r="CHH8" s="24"/>
      <c r="CHI8" s="24"/>
      <c r="CHJ8" s="24"/>
      <c r="CHK8" s="24"/>
      <c r="CHL8" s="24"/>
      <c r="CHM8" s="24"/>
      <c r="CHN8" s="24"/>
      <c r="CHO8" s="24"/>
      <c r="CHP8" s="24"/>
      <c r="CHQ8" s="24"/>
      <c r="CHR8" s="24"/>
      <c r="CHS8" s="24"/>
      <c r="CHT8" s="24"/>
      <c r="CHU8" s="24"/>
      <c r="CHV8" s="24"/>
      <c r="CHW8" s="24"/>
      <c r="CHX8" s="24"/>
      <c r="CHY8" s="24"/>
      <c r="CHZ8" s="24"/>
      <c r="CIA8" s="24"/>
      <c r="CIB8" s="24"/>
      <c r="CIC8" s="24"/>
      <c r="CID8" s="24"/>
      <c r="CIE8" s="24"/>
      <c r="CIF8" s="24"/>
      <c r="CIG8" s="24"/>
      <c r="CIH8" s="24"/>
      <c r="CII8" s="24"/>
      <c r="CIJ8" s="24"/>
      <c r="CIK8" s="24"/>
      <c r="CIL8" s="24"/>
      <c r="CIM8" s="24"/>
      <c r="CIN8" s="24"/>
      <c r="CIO8" s="24"/>
      <c r="CIP8" s="24"/>
      <c r="CIQ8" s="24"/>
      <c r="CIR8" s="24"/>
      <c r="CIS8" s="24"/>
      <c r="CIT8" s="24"/>
      <c r="CIU8" s="24"/>
      <c r="CIV8" s="24"/>
      <c r="CIW8" s="24"/>
      <c r="CIX8" s="24"/>
      <c r="CIY8" s="24"/>
      <c r="CIZ8" s="24"/>
      <c r="CJA8" s="24"/>
      <c r="CJB8" s="24"/>
      <c r="CJC8" s="24"/>
      <c r="CJD8" s="24"/>
      <c r="CJE8" s="24"/>
      <c r="CJF8" s="24"/>
      <c r="CJG8" s="24"/>
      <c r="CJH8" s="24"/>
      <c r="CJI8" s="24"/>
      <c r="CJJ8" s="24"/>
      <c r="CJK8" s="24"/>
      <c r="CJL8" s="24"/>
      <c r="CJM8" s="24"/>
      <c r="CJN8" s="24"/>
      <c r="CJO8" s="24"/>
      <c r="CJP8" s="24"/>
      <c r="CJQ8" s="24"/>
      <c r="CJR8" s="24"/>
      <c r="CJS8" s="24"/>
      <c r="CJT8" s="24"/>
      <c r="CJU8" s="24"/>
      <c r="CJV8" s="24"/>
      <c r="CJW8" s="24"/>
      <c r="CJX8" s="24"/>
      <c r="CJY8" s="24"/>
      <c r="CJZ8" s="24"/>
      <c r="CKA8" s="24"/>
      <c r="CKB8" s="24"/>
      <c r="CKC8" s="24"/>
      <c r="CKD8" s="24"/>
      <c r="CKE8" s="24"/>
      <c r="CKF8" s="24"/>
      <c r="CKG8" s="24"/>
      <c r="CKH8" s="24"/>
      <c r="CKI8" s="24"/>
      <c r="CKJ8" s="24"/>
      <c r="CKK8" s="24"/>
      <c r="CKL8" s="24"/>
      <c r="CKM8" s="24"/>
      <c r="CKN8" s="24"/>
      <c r="CKO8" s="24"/>
      <c r="CKP8" s="24"/>
      <c r="CKQ8" s="24"/>
      <c r="CKR8" s="24"/>
      <c r="CKS8" s="24"/>
      <c r="CKT8" s="24"/>
      <c r="CKU8" s="24"/>
      <c r="CKV8" s="24"/>
      <c r="CKW8" s="24"/>
      <c r="CKX8" s="24"/>
      <c r="CKY8" s="24"/>
      <c r="CKZ8" s="24"/>
      <c r="CLA8" s="24"/>
      <c r="CLB8" s="24"/>
      <c r="CLC8" s="24"/>
      <c r="CLD8" s="24"/>
      <c r="CLE8" s="24"/>
      <c r="CLF8" s="24"/>
      <c r="CLG8" s="24"/>
      <c r="CLH8" s="24"/>
      <c r="CLI8" s="24"/>
      <c r="CLJ8" s="24"/>
      <c r="CLK8" s="24"/>
      <c r="CLL8" s="24"/>
      <c r="CLM8" s="24"/>
      <c r="CLN8" s="24"/>
      <c r="CLO8" s="24"/>
      <c r="CLP8" s="24"/>
      <c r="CLQ8" s="24"/>
      <c r="CLR8" s="24"/>
      <c r="CLS8" s="24"/>
      <c r="CLT8" s="24"/>
      <c r="CLU8" s="24"/>
      <c r="CLV8" s="24"/>
      <c r="CLW8" s="24"/>
      <c r="CLX8" s="24"/>
      <c r="CLY8" s="24"/>
      <c r="CLZ8" s="24"/>
      <c r="CMA8" s="24"/>
      <c r="CMB8" s="24"/>
      <c r="CMC8" s="24"/>
      <c r="CMD8" s="24"/>
      <c r="CME8" s="24"/>
      <c r="CMF8" s="24"/>
      <c r="CMG8" s="24"/>
      <c r="CMH8" s="24"/>
      <c r="CMI8" s="24"/>
      <c r="CMJ8" s="24"/>
      <c r="CMK8" s="24"/>
      <c r="CML8" s="24"/>
      <c r="CMM8" s="24"/>
      <c r="CMN8" s="24"/>
      <c r="CMO8" s="24"/>
      <c r="CMP8" s="24"/>
      <c r="CMQ8" s="24"/>
      <c r="CMR8" s="24"/>
      <c r="CMS8" s="24"/>
      <c r="CMT8" s="24"/>
      <c r="CMU8" s="24"/>
      <c r="CMV8" s="24"/>
      <c r="CMW8" s="24"/>
      <c r="CMX8" s="24"/>
      <c r="CMY8" s="24"/>
      <c r="CMZ8" s="24"/>
      <c r="CNA8" s="24"/>
      <c r="CNB8" s="24"/>
      <c r="CNC8" s="24"/>
      <c r="CND8" s="24"/>
      <c r="CNE8" s="24"/>
      <c r="CNF8" s="24"/>
      <c r="CNG8" s="24"/>
      <c r="CNH8" s="24"/>
      <c r="CNI8" s="24"/>
      <c r="CNJ8" s="24"/>
      <c r="CNK8" s="24"/>
      <c r="CNL8" s="24"/>
      <c r="CNM8" s="24"/>
      <c r="CNN8" s="24"/>
      <c r="CNO8" s="24"/>
      <c r="CNP8" s="24"/>
      <c r="CNQ8" s="24"/>
      <c r="CNR8" s="24"/>
      <c r="CNS8" s="24"/>
      <c r="CNT8" s="24"/>
      <c r="CNU8" s="24"/>
      <c r="CNV8" s="24"/>
      <c r="CNW8" s="24"/>
      <c r="CNX8" s="24"/>
      <c r="CNY8" s="24"/>
      <c r="CNZ8" s="24"/>
      <c r="COA8" s="24"/>
      <c r="COB8" s="24"/>
      <c r="COC8" s="24"/>
      <c r="COD8" s="24"/>
      <c r="COE8" s="24"/>
      <c r="COF8" s="24"/>
      <c r="COG8" s="24"/>
      <c r="COH8" s="24"/>
      <c r="COI8" s="24"/>
      <c r="COJ8" s="24"/>
      <c r="COK8" s="24"/>
      <c r="COL8" s="24"/>
      <c r="COM8" s="24"/>
      <c r="CON8" s="24"/>
      <c r="COO8" s="24"/>
      <c r="COP8" s="24"/>
      <c r="COQ8" s="24"/>
      <c r="COR8" s="24"/>
      <c r="COS8" s="24"/>
      <c r="COT8" s="24"/>
      <c r="COU8" s="24"/>
      <c r="COV8" s="24"/>
      <c r="COW8" s="24"/>
      <c r="COX8" s="24"/>
      <c r="COY8" s="24"/>
      <c r="COZ8" s="24"/>
      <c r="CPA8" s="24"/>
      <c r="CPB8" s="24"/>
      <c r="CPC8" s="24"/>
      <c r="CPD8" s="24"/>
      <c r="CPE8" s="24"/>
      <c r="CPF8" s="24"/>
      <c r="CPG8" s="24"/>
      <c r="CPH8" s="24"/>
      <c r="CPI8" s="24"/>
      <c r="CPJ8" s="24"/>
      <c r="CPK8" s="24"/>
      <c r="CPL8" s="24"/>
      <c r="CPM8" s="24"/>
      <c r="CPN8" s="24"/>
      <c r="CPO8" s="24"/>
      <c r="CPP8" s="24"/>
      <c r="CPQ8" s="24"/>
      <c r="CPR8" s="24"/>
      <c r="CPS8" s="24"/>
      <c r="CPT8" s="24"/>
      <c r="CPU8" s="24"/>
      <c r="CPV8" s="24"/>
      <c r="CPW8" s="24"/>
      <c r="CPX8" s="24"/>
      <c r="CPY8" s="24"/>
      <c r="CPZ8" s="24"/>
      <c r="CQA8" s="24"/>
      <c r="CQB8" s="24"/>
      <c r="CQC8" s="24"/>
      <c r="CQD8" s="24"/>
      <c r="CQE8" s="24"/>
      <c r="CQF8" s="24"/>
      <c r="CQG8" s="24"/>
      <c r="CQH8" s="24"/>
      <c r="CQI8" s="24"/>
      <c r="CQJ8" s="24"/>
      <c r="CQK8" s="24"/>
      <c r="CQL8" s="24"/>
      <c r="CQM8" s="24"/>
      <c r="CQN8" s="24"/>
      <c r="CQO8" s="24"/>
      <c r="CQP8" s="24"/>
      <c r="CQQ8" s="24"/>
      <c r="CQR8" s="24"/>
      <c r="CQS8" s="24"/>
      <c r="CQT8" s="24"/>
      <c r="CQU8" s="24"/>
      <c r="CQV8" s="24"/>
      <c r="CQW8" s="24"/>
      <c r="CQX8" s="24"/>
      <c r="CQY8" s="24"/>
      <c r="CQZ8" s="24"/>
      <c r="CRA8" s="24"/>
      <c r="CRB8" s="24"/>
      <c r="CRC8" s="24"/>
      <c r="CRD8" s="24"/>
      <c r="CRE8" s="24"/>
      <c r="CRF8" s="24"/>
      <c r="CRG8" s="24"/>
      <c r="CRH8" s="24"/>
      <c r="CRI8" s="24"/>
      <c r="CRJ8" s="24"/>
      <c r="CRK8" s="24"/>
      <c r="CRL8" s="24"/>
      <c r="CRM8" s="24"/>
      <c r="CRN8" s="24"/>
      <c r="CRO8" s="24"/>
      <c r="CRP8" s="24"/>
      <c r="CRQ8" s="24"/>
      <c r="CRR8" s="24"/>
      <c r="CRS8" s="24"/>
      <c r="CRT8" s="24"/>
      <c r="CRU8" s="24"/>
      <c r="CRV8" s="24"/>
      <c r="CRW8" s="24"/>
      <c r="CRX8" s="24"/>
      <c r="CRY8" s="24"/>
      <c r="CRZ8" s="24"/>
      <c r="CSA8" s="24"/>
      <c r="CSB8" s="24"/>
      <c r="CSC8" s="24"/>
      <c r="CSD8" s="24"/>
      <c r="CSE8" s="24"/>
      <c r="CSF8" s="24"/>
      <c r="CSG8" s="24"/>
      <c r="CSH8" s="24"/>
      <c r="CSI8" s="24"/>
      <c r="CSJ8" s="24"/>
      <c r="CSK8" s="24"/>
      <c r="CSL8" s="24"/>
      <c r="CSM8" s="24"/>
      <c r="CSN8" s="24"/>
      <c r="CSO8" s="24"/>
      <c r="CSP8" s="24"/>
      <c r="CSQ8" s="24"/>
      <c r="CSR8" s="24"/>
      <c r="CSS8" s="24"/>
      <c r="CST8" s="24"/>
      <c r="CSU8" s="24"/>
      <c r="CSV8" s="24"/>
      <c r="CSW8" s="24"/>
      <c r="CSX8" s="24"/>
      <c r="CSY8" s="24"/>
      <c r="CSZ8" s="24"/>
      <c r="CTA8" s="24"/>
      <c r="CTB8" s="24"/>
      <c r="CTC8" s="24"/>
      <c r="CTD8" s="24"/>
      <c r="CTE8" s="24"/>
      <c r="CTF8" s="24"/>
      <c r="CTG8" s="24"/>
      <c r="CTH8" s="24"/>
      <c r="CTI8" s="24"/>
      <c r="CTJ8" s="24"/>
      <c r="CTK8" s="24"/>
      <c r="CTL8" s="24"/>
      <c r="CTM8" s="24"/>
      <c r="CTN8" s="24"/>
      <c r="CTO8" s="24"/>
      <c r="CTP8" s="24"/>
      <c r="CTQ8" s="24"/>
      <c r="CTR8" s="24"/>
      <c r="CTS8" s="24"/>
      <c r="CTT8" s="24"/>
      <c r="CTU8" s="24"/>
      <c r="CTV8" s="24"/>
      <c r="CTW8" s="24"/>
      <c r="CTX8" s="24"/>
      <c r="CTY8" s="24"/>
      <c r="CTZ8" s="24"/>
      <c r="CUA8" s="24"/>
      <c r="CUB8" s="24"/>
      <c r="CUC8" s="24"/>
      <c r="CUD8" s="24"/>
      <c r="CUE8" s="24"/>
      <c r="CUF8" s="24"/>
      <c r="CUG8" s="24"/>
      <c r="CUH8" s="24"/>
      <c r="CUI8" s="24"/>
      <c r="CUJ8" s="24"/>
      <c r="CUK8" s="24"/>
      <c r="CUL8" s="24"/>
      <c r="CUM8" s="24"/>
      <c r="CUN8" s="24"/>
      <c r="CUO8" s="24"/>
      <c r="CUP8" s="24"/>
      <c r="CUQ8" s="24"/>
      <c r="CUR8" s="24"/>
      <c r="CUS8" s="24"/>
      <c r="CUT8" s="24"/>
      <c r="CUU8" s="24"/>
      <c r="CUV8" s="24"/>
      <c r="CUW8" s="24"/>
      <c r="CUX8" s="24"/>
      <c r="CUY8" s="24"/>
      <c r="CUZ8" s="24"/>
      <c r="CVA8" s="24"/>
      <c r="CVB8" s="24"/>
      <c r="CVC8" s="24"/>
      <c r="CVD8" s="24"/>
      <c r="CVE8" s="24"/>
      <c r="CVF8" s="24"/>
      <c r="CVG8" s="24"/>
      <c r="CVH8" s="24"/>
      <c r="CVI8" s="24"/>
      <c r="CVJ8" s="24"/>
      <c r="CVK8" s="24"/>
      <c r="CVL8" s="24"/>
      <c r="CVM8" s="24"/>
      <c r="CVN8" s="24"/>
      <c r="CVO8" s="24"/>
      <c r="CVP8" s="24"/>
      <c r="CVQ8" s="24"/>
      <c r="CVR8" s="24"/>
      <c r="CVS8" s="24"/>
      <c r="CVT8" s="24"/>
      <c r="CVU8" s="24"/>
      <c r="CVV8" s="24"/>
      <c r="CVW8" s="24"/>
      <c r="CVX8" s="24"/>
      <c r="CVY8" s="24"/>
      <c r="CVZ8" s="24"/>
      <c r="CWA8" s="24"/>
      <c r="CWB8" s="24"/>
      <c r="CWC8" s="24"/>
      <c r="CWD8" s="24"/>
      <c r="CWE8" s="24"/>
      <c r="CWF8" s="24"/>
      <c r="CWG8" s="24"/>
      <c r="CWH8" s="24"/>
      <c r="CWI8" s="24"/>
      <c r="CWJ8" s="24"/>
      <c r="CWK8" s="24"/>
      <c r="CWL8" s="24"/>
      <c r="CWM8" s="24"/>
      <c r="CWN8" s="24"/>
      <c r="CWO8" s="24"/>
      <c r="CWP8" s="24"/>
      <c r="CWQ8" s="24"/>
      <c r="CWR8" s="24"/>
      <c r="CWS8" s="24"/>
      <c r="CWT8" s="24"/>
      <c r="CWU8" s="24"/>
      <c r="CWV8" s="24"/>
      <c r="CWW8" s="24"/>
      <c r="CWX8" s="24"/>
      <c r="CWY8" s="24"/>
      <c r="CWZ8" s="24"/>
      <c r="CXA8" s="24"/>
      <c r="CXB8" s="24"/>
      <c r="CXC8" s="24"/>
      <c r="CXD8" s="24"/>
      <c r="CXE8" s="24"/>
      <c r="CXF8" s="24"/>
      <c r="CXG8" s="24"/>
      <c r="CXH8" s="24"/>
      <c r="CXI8" s="24"/>
      <c r="CXJ8" s="24"/>
      <c r="CXK8" s="24"/>
      <c r="CXL8" s="24"/>
      <c r="CXM8" s="24"/>
      <c r="CXN8" s="24"/>
      <c r="CXO8" s="24"/>
      <c r="CXP8" s="24"/>
      <c r="CXQ8" s="24"/>
      <c r="CXR8" s="24"/>
      <c r="CXS8" s="24"/>
      <c r="CXT8" s="24"/>
      <c r="CXU8" s="24"/>
      <c r="CXV8" s="24"/>
      <c r="CXW8" s="24"/>
      <c r="CXX8" s="24"/>
      <c r="CXY8" s="24"/>
      <c r="CXZ8" s="24"/>
      <c r="CYA8" s="24"/>
      <c r="CYB8" s="24"/>
      <c r="CYC8" s="24"/>
      <c r="CYD8" s="24"/>
      <c r="CYE8" s="24"/>
      <c r="CYF8" s="24"/>
      <c r="CYG8" s="24"/>
      <c r="CYH8" s="24"/>
      <c r="CYI8" s="24"/>
      <c r="CYJ8" s="24"/>
      <c r="CYK8" s="24"/>
      <c r="CYL8" s="24"/>
      <c r="CYM8" s="24"/>
      <c r="CYN8" s="24"/>
      <c r="CYO8" s="24"/>
      <c r="CYP8" s="24"/>
      <c r="CYQ8" s="24"/>
      <c r="CYR8" s="24"/>
      <c r="CYS8" s="24"/>
      <c r="CYT8" s="24"/>
      <c r="CYU8" s="24"/>
      <c r="CYV8" s="24"/>
      <c r="CYW8" s="24"/>
      <c r="CYX8" s="24"/>
      <c r="CYY8" s="24"/>
      <c r="CYZ8" s="24"/>
      <c r="CZA8" s="24"/>
      <c r="CZB8" s="24"/>
      <c r="CZC8" s="24"/>
      <c r="CZD8" s="24"/>
      <c r="CZE8" s="24"/>
      <c r="CZF8" s="24"/>
      <c r="CZG8" s="24"/>
      <c r="CZH8" s="24"/>
      <c r="CZI8" s="24"/>
      <c r="CZJ8" s="24"/>
      <c r="CZK8" s="24"/>
      <c r="CZL8" s="24"/>
      <c r="CZM8" s="24"/>
      <c r="CZN8" s="24"/>
      <c r="CZO8" s="24"/>
      <c r="CZP8" s="24"/>
      <c r="CZQ8" s="24"/>
      <c r="CZR8" s="24"/>
      <c r="CZS8" s="24"/>
      <c r="CZT8" s="24"/>
      <c r="CZU8" s="24"/>
      <c r="CZV8" s="24"/>
      <c r="CZW8" s="24"/>
      <c r="CZX8" s="24"/>
      <c r="CZY8" s="24"/>
      <c r="CZZ8" s="24"/>
      <c r="DAA8" s="24"/>
      <c r="DAB8" s="24"/>
      <c r="DAC8" s="24"/>
      <c r="DAD8" s="24"/>
      <c r="DAE8" s="24"/>
      <c r="DAF8" s="24"/>
      <c r="DAG8" s="24"/>
      <c r="DAH8" s="24"/>
      <c r="DAI8" s="24"/>
      <c r="DAJ8" s="24"/>
      <c r="DAK8" s="24"/>
      <c r="DAL8" s="24"/>
      <c r="DAM8" s="24"/>
      <c r="DAN8" s="24"/>
      <c r="DAO8" s="24"/>
      <c r="DAP8" s="24"/>
      <c r="DAQ8" s="24"/>
      <c r="DAR8" s="24"/>
      <c r="DAS8" s="24"/>
      <c r="DAT8" s="24"/>
      <c r="DAU8" s="24"/>
      <c r="DAV8" s="24"/>
      <c r="DAW8" s="24"/>
      <c r="DAX8" s="24"/>
      <c r="DAY8" s="24"/>
      <c r="DAZ8" s="24"/>
      <c r="DBA8" s="24"/>
      <c r="DBB8" s="24"/>
      <c r="DBC8" s="24"/>
      <c r="DBD8" s="24"/>
      <c r="DBE8" s="24"/>
      <c r="DBF8" s="24"/>
      <c r="DBG8" s="24"/>
      <c r="DBH8" s="24"/>
      <c r="DBI8" s="24"/>
      <c r="DBJ8" s="24"/>
      <c r="DBK8" s="24"/>
      <c r="DBL8" s="24"/>
      <c r="DBM8" s="24"/>
      <c r="DBN8" s="24"/>
      <c r="DBO8" s="24"/>
      <c r="DBP8" s="24"/>
      <c r="DBQ8" s="24"/>
      <c r="DBR8" s="24"/>
      <c r="DBS8" s="24"/>
      <c r="DBT8" s="24"/>
      <c r="DBU8" s="24"/>
      <c r="DBV8" s="24"/>
      <c r="DBW8" s="24"/>
      <c r="DBX8" s="24"/>
      <c r="DBY8" s="24"/>
      <c r="DBZ8" s="24"/>
      <c r="DCA8" s="24"/>
      <c r="DCB8" s="24"/>
      <c r="DCC8" s="24"/>
      <c r="DCD8" s="24"/>
      <c r="DCE8" s="24"/>
      <c r="DCF8" s="24"/>
      <c r="DCG8" s="24"/>
      <c r="DCH8" s="24"/>
      <c r="DCI8" s="24"/>
      <c r="DCJ8" s="24"/>
      <c r="DCK8" s="24"/>
      <c r="DCL8" s="24"/>
      <c r="DCM8" s="24"/>
      <c r="DCN8" s="24"/>
      <c r="DCO8" s="24"/>
      <c r="DCP8" s="24"/>
      <c r="DCQ8" s="24"/>
      <c r="DCR8" s="24"/>
      <c r="DCS8" s="24"/>
      <c r="DCT8" s="24"/>
      <c r="DCU8" s="24"/>
      <c r="DCV8" s="24"/>
      <c r="DCW8" s="24"/>
      <c r="DCX8" s="24"/>
      <c r="DCY8" s="24"/>
      <c r="DCZ8" s="24"/>
      <c r="DDA8" s="24"/>
      <c r="DDB8" s="24"/>
      <c r="DDC8" s="24"/>
      <c r="DDD8" s="24"/>
      <c r="DDE8" s="24"/>
      <c r="DDF8" s="24"/>
      <c r="DDG8" s="24"/>
      <c r="DDH8" s="24"/>
      <c r="DDI8" s="24"/>
      <c r="DDJ8" s="24"/>
      <c r="DDK8" s="24"/>
      <c r="DDL8" s="24"/>
      <c r="DDM8" s="24"/>
      <c r="DDN8" s="24"/>
      <c r="DDO8" s="24"/>
      <c r="DDP8" s="24"/>
      <c r="DDQ8" s="24"/>
      <c r="DDR8" s="24"/>
      <c r="DDS8" s="24"/>
      <c r="DDT8" s="24"/>
      <c r="DDU8" s="24"/>
      <c r="DDV8" s="24"/>
      <c r="DDW8" s="24"/>
      <c r="DDX8" s="24"/>
      <c r="DDY8" s="24"/>
      <c r="DDZ8" s="24"/>
      <c r="DEA8" s="24"/>
      <c r="DEB8" s="24"/>
      <c r="DEC8" s="24"/>
      <c r="DED8" s="24"/>
      <c r="DEE8" s="24"/>
      <c r="DEF8" s="24"/>
      <c r="DEG8" s="24"/>
      <c r="DEH8" s="24"/>
      <c r="DEI8" s="24"/>
      <c r="DEJ8" s="24"/>
      <c r="DEK8" s="24"/>
      <c r="DEL8" s="24"/>
      <c r="DEM8" s="24"/>
      <c r="DEN8" s="24"/>
      <c r="DEO8" s="24"/>
      <c r="DEP8" s="24"/>
      <c r="DEQ8" s="24"/>
      <c r="DER8" s="24"/>
      <c r="DES8" s="24"/>
      <c r="DET8" s="24"/>
      <c r="DEU8" s="24"/>
      <c r="DEV8" s="24"/>
      <c r="DEW8" s="24"/>
      <c r="DEX8" s="24"/>
      <c r="DEY8" s="24"/>
      <c r="DEZ8" s="24"/>
      <c r="DFA8" s="24"/>
      <c r="DFB8" s="24"/>
      <c r="DFC8" s="24"/>
      <c r="DFD8" s="24"/>
      <c r="DFE8" s="24"/>
      <c r="DFF8" s="24"/>
      <c r="DFG8" s="24"/>
      <c r="DFH8" s="24"/>
      <c r="DFI8" s="24"/>
      <c r="DFJ8" s="24"/>
      <c r="DFK8" s="24"/>
      <c r="DFL8" s="24"/>
      <c r="DFM8" s="24"/>
      <c r="DFN8" s="24"/>
      <c r="DFO8" s="24"/>
      <c r="DFP8" s="24"/>
      <c r="DFQ8" s="24"/>
      <c r="DFR8" s="24"/>
      <c r="DFS8" s="24"/>
      <c r="DFT8" s="24"/>
      <c r="DFU8" s="24"/>
      <c r="DFV8" s="24"/>
      <c r="DFW8" s="24"/>
      <c r="DFX8" s="24"/>
      <c r="DFY8" s="24"/>
      <c r="DFZ8" s="24"/>
      <c r="DGA8" s="24"/>
      <c r="DGB8" s="24"/>
      <c r="DGC8" s="24"/>
      <c r="DGD8" s="24"/>
      <c r="DGE8" s="24"/>
      <c r="DGF8" s="24"/>
      <c r="DGG8" s="24"/>
      <c r="DGH8" s="24"/>
      <c r="DGI8" s="24"/>
      <c r="DGJ8" s="24"/>
      <c r="DGK8" s="24"/>
      <c r="DGL8" s="24"/>
      <c r="DGM8" s="24"/>
      <c r="DGN8" s="24"/>
      <c r="DGO8" s="24"/>
      <c r="DGP8" s="24"/>
      <c r="DGQ8" s="24"/>
      <c r="DGR8" s="24"/>
      <c r="DGS8" s="24"/>
      <c r="DGT8" s="24"/>
      <c r="DGU8" s="24"/>
      <c r="DGV8" s="24"/>
      <c r="DGW8" s="24"/>
      <c r="DGX8" s="24"/>
      <c r="DGY8" s="24"/>
      <c r="DGZ8" s="24"/>
      <c r="DHA8" s="24"/>
      <c r="DHB8" s="24"/>
      <c r="DHC8" s="24"/>
      <c r="DHD8" s="24"/>
      <c r="DHE8" s="24"/>
      <c r="DHF8" s="24"/>
      <c r="DHG8" s="24"/>
      <c r="DHH8" s="24"/>
      <c r="DHI8" s="24"/>
      <c r="DHJ8" s="24"/>
      <c r="DHK8" s="24"/>
      <c r="DHL8" s="24"/>
      <c r="DHM8" s="24"/>
      <c r="DHN8" s="24"/>
      <c r="DHO8" s="24"/>
      <c r="DHP8" s="24"/>
      <c r="DHQ8" s="24"/>
      <c r="DHR8" s="24"/>
      <c r="DHS8" s="24"/>
      <c r="DHT8" s="24"/>
      <c r="DHU8" s="24"/>
      <c r="DHV8" s="24"/>
      <c r="DHW8" s="24"/>
      <c r="DHX8" s="24"/>
      <c r="DHY8" s="24"/>
      <c r="DHZ8" s="24"/>
      <c r="DIA8" s="24"/>
      <c r="DIB8" s="24"/>
      <c r="DIC8" s="24"/>
      <c r="DID8" s="24"/>
      <c r="DIE8" s="24"/>
      <c r="DIF8" s="24"/>
      <c r="DIG8" s="24"/>
      <c r="DIH8" s="24"/>
      <c r="DII8" s="24"/>
      <c r="DIJ8" s="24"/>
      <c r="DIK8" s="24"/>
      <c r="DIL8" s="24"/>
      <c r="DIM8" s="24"/>
      <c r="DIN8" s="24"/>
      <c r="DIO8" s="24"/>
      <c r="DIP8" s="24"/>
      <c r="DIQ8" s="24"/>
      <c r="DIR8" s="24"/>
      <c r="DIS8" s="24"/>
      <c r="DIT8" s="24"/>
      <c r="DIU8" s="24"/>
      <c r="DIV8" s="24"/>
      <c r="DIW8" s="24"/>
      <c r="DIX8" s="24"/>
      <c r="DIY8" s="24"/>
      <c r="DIZ8" s="24"/>
      <c r="DJA8" s="24"/>
      <c r="DJB8" s="24"/>
      <c r="DJC8" s="24"/>
      <c r="DJD8" s="24"/>
      <c r="DJE8" s="24"/>
      <c r="DJF8" s="24"/>
      <c r="DJG8" s="24"/>
      <c r="DJH8" s="24"/>
      <c r="DJI8" s="24"/>
      <c r="DJJ8" s="24"/>
      <c r="DJK8" s="24"/>
      <c r="DJL8" s="24"/>
      <c r="DJM8" s="24"/>
      <c r="DJN8" s="24"/>
      <c r="DJO8" s="24"/>
      <c r="DJP8" s="24"/>
      <c r="DJQ8" s="24"/>
      <c r="DJR8" s="24"/>
      <c r="DJS8" s="24"/>
      <c r="DJT8" s="24"/>
      <c r="DJU8" s="24"/>
      <c r="DJV8" s="24"/>
      <c r="DJW8" s="24"/>
      <c r="DJX8" s="24"/>
      <c r="DJY8" s="24"/>
      <c r="DJZ8" s="24"/>
      <c r="DKA8" s="24"/>
      <c r="DKB8" s="24"/>
      <c r="DKC8" s="24"/>
      <c r="DKD8" s="24"/>
      <c r="DKE8" s="24"/>
      <c r="DKF8" s="24"/>
      <c r="DKG8" s="24"/>
      <c r="DKH8" s="24"/>
      <c r="DKI8" s="24"/>
      <c r="DKJ8" s="24"/>
      <c r="DKK8" s="24"/>
      <c r="DKL8" s="24"/>
      <c r="DKM8" s="24"/>
      <c r="DKN8" s="24"/>
      <c r="DKO8" s="24"/>
      <c r="DKP8" s="24"/>
      <c r="DKQ8" s="24"/>
      <c r="DKR8" s="24"/>
      <c r="DKS8" s="24"/>
      <c r="DKT8" s="24"/>
      <c r="DKU8" s="24"/>
      <c r="DKV8" s="24"/>
      <c r="DKW8" s="24"/>
      <c r="DKX8" s="24"/>
      <c r="DKY8" s="24"/>
      <c r="DKZ8" s="24"/>
      <c r="DLA8" s="24"/>
      <c r="DLB8" s="24"/>
      <c r="DLC8" s="24"/>
      <c r="DLD8" s="24"/>
      <c r="DLE8" s="24"/>
      <c r="DLF8" s="24"/>
      <c r="DLG8" s="24"/>
      <c r="DLH8" s="24"/>
      <c r="DLI8" s="24"/>
      <c r="DLJ8" s="24"/>
      <c r="DLK8" s="24"/>
      <c r="DLL8" s="24"/>
      <c r="DLM8" s="24"/>
      <c r="DLN8" s="24"/>
      <c r="DLO8" s="24"/>
      <c r="DLP8" s="24"/>
      <c r="DLQ8" s="24"/>
      <c r="DLR8" s="24"/>
      <c r="DLS8" s="24"/>
      <c r="DLT8" s="24"/>
      <c r="DLU8" s="24"/>
      <c r="DLV8" s="24"/>
      <c r="DLW8" s="24"/>
      <c r="DLX8" s="24"/>
      <c r="DLY8" s="24"/>
      <c r="DLZ8" s="24"/>
      <c r="DMA8" s="24"/>
      <c r="DMB8" s="24"/>
      <c r="DMC8" s="24"/>
      <c r="DMD8" s="24"/>
      <c r="DME8" s="24"/>
      <c r="DMF8" s="24"/>
      <c r="DMG8" s="24"/>
      <c r="DMH8" s="24"/>
      <c r="DMI8" s="24"/>
      <c r="DMJ8" s="24"/>
      <c r="DMK8" s="24"/>
      <c r="DML8" s="24"/>
      <c r="DMM8" s="24"/>
      <c r="DMN8" s="24"/>
      <c r="DMO8" s="24"/>
      <c r="DMP8" s="24"/>
      <c r="DMQ8" s="24"/>
      <c r="DMR8" s="24"/>
      <c r="DMS8" s="24"/>
      <c r="DMT8" s="24"/>
      <c r="DMU8" s="24"/>
      <c r="DMV8" s="24"/>
      <c r="DMW8" s="24"/>
      <c r="DMX8" s="24"/>
      <c r="DMY8" s="24"/>
      <c r="DMZ8" s="24"/>
      <c r="DNA8" s="24"/>
      <c r="DNB8" s="24"/>
      <c r="DNC8" s="24"/>
      <c r="DND8" s="24"/>
      <c r="DNE8" s="24"/>
      <c r="DNF8" s="24"/>
      <c r="DNG8" s="24"/>
      <c r="DNH8" s="24"/>
      <c r="DNI8" s="24"/>
      <c r="DNJ8" s="24"/>
      <c r="DNK8" s="24"/>
      <c r="DNL8" s="24"/>
      <c r="DNM8" s="24"/>
      <c r="DNN8" s="24"/>
      <c r="DNO8" s="24"/>
      <c r="DNP8" s="24"/>
      <c r="DNQ8" s="24"/>
      <c r="DNR8" s="24"/>
      <c r="DNS8" s="24"/>
      <c r="DNT8" s="24"/>
      <c r="DNU8" s="24"/>
      <c r="DNV8" s="24"/>
      <c r="DNW8" s="24"/>
      <c r="DNX8" s="24"/>
      <c r="DNY8" s="24"/>
      <c r="DNZ8" s="24"/>
      <c r="DOA8" s="24"/>
      <c r="DOB8" s="24"/>
      <c r="DOC8" s="24"/>
      <c r="DOD8" s="24"/>
      <c r="DOE8" s="24"/>
      <c r="DOF8" s="24"/>
      <c r="DOG8" s="24"/>
      <c r="DOH8" s="24"/>
      <c r="DOI8" s="24"/>
      <c r="DOJ8" s="24"/>
      <c r="DOK8" s="24"/>
      <c r="DOL8" s="24"/>
      <c r="DOM8" s="24"/>
      <c r="DON8" s="24"/>
      <c r="DOO8" s="24"/>
      <c r="DOP8" s="24"/>
      <c r="DOQ8" s="24"/>
      <c r="DOR8" s="24"/>
      <c r="DOS8" s="24"/>
      <c r="DOT8" s="24"/>
      <c r="DOU8" s="24"/>
      <c r="DOV8" s="24"/>
      <c r="DOW8" s="24"/>
      <c r="DOX8" s="24"/>
      <c r="DOY8" s="24"/>
      <c r="DOZ8" s="24"/>
      <c r="DPA8" s="24"/>
      <c r="DPB8" s="24"/>
      <c r="DPC8" s="24"/>
      <c r="DPD8" s="24"/>
      <c r="DPE8" s="24"/>
      <c r="DPF8" s="24"/>
      <c r="DPG8" s="24"/>
      <c r="DPH8" s="24"/>
      <c r="DPI8" s="24"/>
      <c r="DPJ8" s="24"/>
      <c r="DPK8" s="24"/>
      <c r="DPL8" s="24"/>
      <c r="DPM8" s="24"/>
      <c r="DPN8" s="24"/>
      <c r="DPO8" s="24"/>
      <c r="DPP8" s="24"/>
      <c r="DPQ8" s="24"/>
      <c r="DPR8" s="24"/>
      <c r="DPS8" s="24"/>
      <c r="DPT8" s="24"/>
      <c r="DPU8" s="24"/>
      <c r="DPV8" s="24"/>
      <c r="DPW8" s="24"/>
      <c r="DPX8" s="24"/>
      <c r="DPY8" s="24"/>
      <c r="DPZ8" s="24"/>
      <c r="DQA8" s="24"/>
      <c r="DQB8" s="24"/>
      <c r="DQC8" s="24"/>
      <c r="DQD8" s="24"/>
      <c r="DQE8" s="24"/>
      <c r="DQF8" s="24"/>
      <c r="DQG8" s="24"/>
      <c r="DQH8" s="24"/>
      <c r="DQI8" s="24"/>
      <c r="DQJ8" s="24"/>
      <c r="DQK8" s="24"/>
      <c r="DQL8" s="24"/>
      <c r="DQM8" s="24"/>
      <c r="DQN8" s="24"/>
      <c r="DQO8" s="24"/>
      <c r="DQP8" s="24"/>
      <c r="DQQ8" s="24"/>
      <c r="DQR8" s="24"/>
      <c r="DQS8" s="24"/>
      <c r="DQT8" s="24"/>
      <c r="DQU8" s="24"/>
      <c r="DQV8" s="24"/>
      <c r="DQW8" s="24"/>
      <c r="DQX8" s="24"/>
      <c r="DQY8" s="24"/>
      <c r="DQZ8" s="24"/>
      <c r="DRA8" s="24"/>
      <c r="DRB8" s="24"/>
      <c r="DRC8" s="24"/>
      <c r="DRD8" s="24"/>
      <c r="DRE8" s="24"/>
      <c r="DRF8" s="24"/>
      <c r="DRG8" s="24"/>
      <c r="DRH8" s="24"/>
      <c r="DRI8" s="24"/>
      <c r="DRJ8" s="24"/>
      <c r="DRK8" s="24"/>
      <c r="DRL8" s="24"/>
      <c r="DRM8" s="24"/>
      <c r="DRN8" s="24"/>
      <c r="DRO8" s="24"/>
      <c r="DRP8" s="24"/>
      <c r="DRQ8" s="24"/>
      <c r="DRR8" s="24"/>
      <c r="DRS8" s="24"/>
      <c r="DRT8" s="24"/>
      <c r="DRU8" s="24"/>
      <c r="DRV8" s="24"/>
      <c r="DRW8" s="24"/>
      <c r="DRX8" s="24"/>
      <c r="DRY8" s="24"/>
      <c r="DRZ8" s="24"/>
      <c r="DSA8" s="24"/>
      <c r="DSB8" s="24"/>
      <c r="DSC8" s="24"/>
      <c r="DSD8" s="24"/>
      <c r="DSE8" s="24"/>
      <c r="DSF8" s="24"/>
      <c r="DSG8" s="24"/>
      <c r="DSH8" s="24"/>
      <c r="DSI8" s="24"/>
      <c r="DSJ8" s="24"/>
      <c r="DSK8" s="24"/>
      <c r="DSL8" s="24"/>
      <c r="DSM8" s="24"/>
      <c r="DSN8" s="24"/>
      <c r="DSO8" s="24"/>
      <c r="DSP8" s="24"/>
      <c r="DSQ8" s="24"/>
      <c r="DSR8" s="24"/>
      <c r="DSS8" s="24"/>
      <c r="DST8" s="24"/>
      <c r="DSU8" s="24"/>
      <c r="DSV8" s="24"/>
      <c r="DSW8" s="24"/>
      <c r="DSX8" s="24"/>
      <c r="DSY8" s="24"/>
      <c r="DSZ8" s="24"/>
      <c r="DTA8" s="24"/>
      <c r="DTB8" s="24"/>
      <c r="DTC8" s="24"/>
      <c r="DTD8" s="24"/>
      <c r="DTE8" s="24"/>
      <c r="DTF8" s="24"/>
      <c r="DTG8" s="24"/>
      <c r="DTH8" s="24"/>
      <c r="DTI8" s="24"/>
      <c r="DTJ8" s="24"/>
      <c r="DTK8" s="24"/>
      <c r="DTL8" s="24"/>
      <c r="DTM8" s="24"/>
      <c r="DTN8" s="24"/>
      <c r="DTO8" s="24"/>
      <c r="DTP8" s="24"/>
      <c r="DTQ8" s="24"/>
      <c r="DTR8" s="24"/>
      <c r="DTS8" s="24"/>
      <c r="DTT8" s="24"/>
      <c r="DTU8" s="24"/>
      <c r="DTV8" s="24"/>
      <c r="DTW8" s="24"/>
      <c r="DTX8" s="24"/>
      <c r="DTY8" s="24"/>
      <c r="DTZ8" s="24"/>
      <c r="DUA8" s="24"/>
      <c r="DUB8" s="24"/>
      <c r="DUC8" s="24"/>
      <c r="DUD8" s="24"/>
      <c r="DUE8" s="24"/>
      <c r="DUF8" s="24"/>
      <c r="DUG8" s="24"/>
      <c r="DUH8" s="24"/>
      <c r="DUI8" s="24"/>
      <c r="DUJ8" s="24"/>
      <c r="DUK8" s="24"/>
      <c r="DUL8" s="24"/>
      <c r="DUM8" s="24"/>
      <c r="DUN8" s="24"/>
      <c r="DUO8" s="24"/>
      <c r="DUP8" s="24"/>
      <c r="DUQ8" s="24"/>
      <c r="DUR8" s="24"/>
      <c r="DUS8" s="24"/>
      <c r="DUT8" s="24"/>
      <c r="DUU8" s="24"/>
      <c r="DUV8" s="24"/>
      <c r="DUW8" s="24"/>
      <c r="DUX8" s="24"/>
      <c r="DUY8" s="24"/>
      <c r="DUZ8" s="24"/>
      <c r="DVA8" s="24"/>
      <c r="DVB8" s="24"/>
      <c r="DVC8" s="24"/>
      <c r="DVD8" s="24"/>
      <c r="DVE8" s="24"/>
      <c r="DVF8" s="24"/>
      <c r="DVG8" s="24"/>
      <c r="DVH8" s="24"/>
      <c r="DVI8" s="24"/>
      <c r="DVJ8" s="24"/>
      <c r="DVK8" s="24"/>
      <c r="DVL8" s="24"/>
      <c r="DVM8" s="24"/>
      <c r="DVN8" s="24"/>
      <c r="DVO8" s="24"/>
      <c r="DVP8" s="24"/>
      <c r="DVQ8" s="24"/>
      <c r="DVR8" s="24"/>
      <c r="DVS8" s="24"/>
      <c r="DVT8" s="24"/>
      <c r="DVU8" s="24"/>
      <c r="DVV8" s="24"/>
      <c r="DVW8" s="24"/>
      <c r="DVX8" s="24"/>
      <c r="DVY8" s="24"/>
      <c r="DVZ8" s="24"/>
      <c r="DWA8" s="24"/>
      <c r="DWB8" s="24"/>
      <c r="DWC8" s="24"/>
      <c r="DWD8" s="24"/>
      <c r="DWE8" s="24"/>
      <c r="DWF8" s="24"/>
      <c r="DWG8" s="24"/>
      <c r="DWH8" s="24"/>
      <c r="DWI8" s="24"/>
      <c r="DWJ8" s="24"/>
      <c r="DWK8" s="24"/>
      <c r="DWL8" s="24"/>
      <c r="DWM8" s="24"/>
      <c r="DWN8" s="24"/>
      <c r="DWO8" s="24"/>
      <c r="DWP8" s="24"/>
      <c r="DWQ8" s="24"/>
      <c r="DWR8" s="24"/>
      <c r="DWS8" s="24"/>
      <c r="DWT8" s="24"/>
      <c r="DWU8" s="24"/>
      <c r="DWV8" s="24"/>
      <c r="DWW8" s="24"/>
      <c r="DWX8" s="24"/>
      <c r="DWY8" s="24"/>
      <c r="DWZ8" s="24"/>
      <c r="DXA8" s="24"/>
      <c r="DXB8" s="24"/>
      <c r="DXC8" s="24"/>
      <c r="DXD8" s="24"/>
      <c r="DXE8" s="24"/>
      <c r="DXF8" s="24"/>
      <c r="DXG8" s="24"/>
      <c r="DXH8" s="24"/>
      <c r="DXI8" s="24"/>
      <c r="DXJ8" s="24"/>
      <c r="DXK8" s="24"/>
      <c r="DXL8" s="24"/>
      <c r="DXM8" s="24"/>
      <c r="DXN8" s="24"/>
      <c r="DXO8" s="24"/>
      <c r="DXP8" s="24"/>
      <c r="DXQ8" s="24"/>
      <c r="DXR8" s="24"/>
      <c r="DXS8" s="24"/>
      <c r="DXT8" s="24"/>
      <c r="DXU8" s="24"/>
      <c r="DXV8" s="24"/>
      <c r="DXW8" s="24"/>
      <c r="DXX8" s="24"/>
      <c r="DXY8" s="24"/>
      <c r="DXZ8" s="24"/>
      <c r="DYA8" s="24"/>
      <c r="DYB8" s="24"/>
      <c r="DYC8" s="24"/>
      <c r="DYD8" s="24"/>
      <c r="DYE8" s="24"/>
      <c r="DYF8" s="24"/>
      <c r="DYG8" s="24"/>
      <c r="DYH8" s="24"/>
      <c r="DYI8" s="24"/>
      <c r="DYJ8" s="24"/>
      <c r="DYK8" s="24"/>
      <c r="DYL8" s="24"/>
      <c r="DYM8" s="24"/>
      <c r="DYN8" s="24"/>
      <c r="DYO8" s="24"/>
      <c r="DYP8" s="24"/>
      <c r="DYQ8" s="24"/>
      <c r="DYR8" s="24"/>
      <c r="DYS8" s="24"/>
      <c r="DYT8" s="24"/>
      <c r="DYU8" s="24"/>
      <c r="DYV8" s="24"/>
      <c r="DYW8" s="24"/>
      <c r="DYX8" s="24"/>
      <c r="DYY8" s="24"/>
      <c r="DYZ8" s="24"/>
      <c r="DZA8" s="24"/>
      <c r="DZB8" s="24"/>
      <c r="DZC8" s="24"/>
      <c r="DZD8" s="24"/>
      <c r="DZE8" s="24"/>
      <c r="DZF8" s="24"/>
      <c r="DZG8" s="24"/>
      <c r="DZH8" s="24"/>
      <c r="DZI8" s="24"/>
      <c r="DZJ8" s="24"/>
      <c r="DZK8" s="24"/>
      <c r="DZL8" s="24"/>
      <c r="DZM8" s="24"/>
      <c r="DZN8" s="24"/>
      <c r="DZO8" s="24"/>
      <c r="DZP8" s="24"/>
      <c r="DZQ8" s="24"/>
      <c r="DZR8" s="24"/>
      <c r="DZS8" s="24"/>
      <c r="DZT8" s="24"/>
      <c r="DZU8" s="24"/>
      <c r="DZV8" s="24"/>
      <c r="DZW8" s="24"/>
      <c r="DZX8" s="24"/>
      <c r="DZY8" s="24"/>
      <c r="DZZ8" s="24"/>
      <c r="EAA8" s="24"/>
      <c r="EAB8" s="24"/>
      <c r="EAC8" s="24"/>
      <c r="EAD8" s="24"/>
      <c r="EAE8" s="24"/>
      <c r="EAF8" s="24"/>
      <c r="EAG8" s="24"/>
      <c r="EAH8" s="24"/>
      <c r="EAI8" s="24"/>
      <c r="EAJ8" s="24"/>
      <c r="EAK8" s="24"/>
      <c r="EAL8" s="24"/>
      <c r="EAM8" s="24"/>
      <c r="EAN8" s="24"/>
      <c r="EAO8" s="24"/>
      <c r="EAP8" s="24"/>
      <c r="EAQ8" s="24"/>
      <c r="EAR8" s="24"/>
      <c r="EAS8" s="24"/>
      <c r="EAT8" s="24"/>
      <c r="EAU8" s="24"/>
      <c r="EAV8" s="24"/>
      <c r="EAW8" s="24"/>
      <c r="EAX8" s="24"/>
      <c r="EAY8" s="24"/>
      <c r="EAZ8" s="24"/>
      <c r="EBA8" s="24"/>
      <c r="EBB8" s="24"/>
      <c r="EBC8" s="24"/>
      <c r="EBD8" s="24"/>
      <c r="EBE8" s="24"/>
      <c r="EBF8" s="24"/>
      <c r="EBG8" s="24"/>
      <c r="EBH8" s="24"/>
      <c r="EBI8" s="24"/>
      <c r="EBJ8" s="24"/>
      <c r="EBK8" s="24"/>
      <c r="EBL8" s="24"/>
      <c r="EBM8" s="24"/>
      <c r="EBN8" s="24"/>
      <c r="EBO8" s="24"/>
      <c r="EBP8" s="24"/>
      <c r="EBQ8" s="24"/>
      <c r="EBR8" s="24"/>
      <c r="EBS8" s="24"/>
      <c r="EBT8" s="24"/>
      <c r="EBU8" s="24"/>
      <c r="EBV8" s="24"/>
      <c r="EBW8" s="24"/>
      <c r="EBX8" s="24"/>
      <c r="EBY8" s="24"/>
      <c r="EBZ8" s="24"/>
      <c r="ECA8" s="24"/>
      <c r="ECB8" s="24"/>
      <c r="ECC8" s="24"/>
      <c r="ECD8" s="24"/>
      <c r="ECE8" s="24"/>
      <c r="ECF8" s="24"/>
      <c r="ECG8" s="24"/>
      <c r="ECH8" s="24"/>
      <c r="ECI8" s="24"/>
      <c r="ECJ8" s="24"/>
      <c r="ECK8" s="24"/>
      <c r="ECL8" s="24"/>
      <c r="ECM8" s="24"/>
      <c r="ECN8" s="24"/>
      <c r="ECO8" s="24"/>
      <c r="ECP8" s="24"/>
      <c r="ECQ8" s="24"/>
      <c r="ECR8" s="24"/>
      <c r="ECS8" s="24"/>
      <c r="ECT8" s="24"/>
      <c r="ECU8" s="24"/>
      <c r="ECV8" s="24"/>
      <c r="ECW8" s="24"/>
      <c r="ECX8" s="24"/>
      <c r="ECY8" s="24"/>
      <c r="ECZ8" s="24"/>
      <c r="EDA8" s="24"/>
      <c r="EDB8" s="24"/>
      <c r="EDC8" s="24"/>
      <c r="EDD8" s="24"/>
      <c r="EDE8" s="24"/>
      <c r="EDF8" s="24"/>
      <c r="EDG8" s="24"/>
      <c r="EDH8" s="24"/>
      <c r="EDI8" s="24"/>
      <c r="EDJ8" s="24"/>
      <c r="EDK8" s="24"/>
      <c r="EDL8" s="24"/>
      <c r="EDM8" s="24"/>
      <c r="EDN8" s="24"/>
      <c r="EDO8" s="24"/>
      <c r="EDP8" s="24"/>
      <c r="EDQ8" s="24"/>
      <c r="EDR8" s="24"/>
      <c r="EDS8" s="24"/>
      <c r="EDT8" s="24"/>
      <c r="EDU8" s="24"/>
      <c r="EDV8" s="24"/>
      <c r="EDW8" s="24"/>
      <c r="EDX8" s="24"/>
      <c r="EDY8" s="24"/>
      <c r="EDZ8" s="24"/>
      <c r="EEA8" s="24"/>
      <c r="EEB8" s="24"/>
      <c r="EEC8" s="24"/>
      <c r="EED8" s="24"/>
      <c r="EEE8" s="24"/>
      <c r="EEF8" s="24"/>
      <c r="EEG8" s="24"/>
      <c r="EEH8" s="24"/>
      <c r="EEI8" s="24"/>
      <c r="EEJ8" s="24"/>
      <c r="EEK8" s="24"/>
      <c r="EEL8" s="24"/>
      <c r="EEM8" s="24"/>
      <c r="EEN8" s="24"/>
      <c r="EEO8" s="24"/>
      <c r="EEP8" s="24"/>
      <c r="EEQ8" s="24"/>
      <c r="EER8" s="24"/>
      <c r="EES8" s="24"/>
      <c r="EET8" s="24"/>
      <c r="EEU8" s="24"/>
      <c r="EEV8" s="24"/>
      <c r="EEW8" s="24"/>
      <c r="EEX8" s="24"/>
      <c r="EEY8" s="24"/>
      <c r="EEZ8" s="24"/>
      <c r="EFA8" s="24"/>
      <c r="EFB8" s="24"/>
      <c r="EFC8" s="24"/>
      <c r="EFD8" s="24"/>
      <c r="EFE8" s="24"/>
      <c r="EFF8" s="24"/>
      <c r="EFG8" s="24"/>
      <c r="EFH8" s="24"/>
      <c r="EFI8" s="24"/>
      <c r="EFJ8" s="24"/>
      <c r="EFK8" s="24"/>
      <c r="EFL8" s="24"/>
      <c r="EFM8" s="24"/>
      <c r="EFN8" s="24"/>
      <c r="EFO8" s="24"/>
      <c r="EFP8" s="24"/>
      <c r="EFQ8" s="24"/>
      <c r="EFR8" s="24"/>
      <c r="EFS8" s="24"/>
      <c r="EFT8" s="24"/>
      <c r="EFU8" s="24"/>
      <c r="EFV8" s="24"/>
      <c r="EFW8" s="24"/>
      <c r="EFX8" s="24"/>
      <c r="EFY8" s="24"/>
      <c r="EFZ8" s="24"/>
      <c r="EGA8" s="24"/>
      <c r="EGB8" s="24"/>
      <c r="EGC8" s="24"/>
      <c r="EGD8" s="24"/>
      <c r="EGE8" s="24"/>
      <c r="EGF8" s="24"/>
      <c r="EGG8" s="24"/>
      <c r="EGH8" s="24"/>
      <c r="EGI8" s="24"/>
      <c r="EGJ8" s="24"/>
      <c r="EGK8" s="24"/>
      <c r="EGL8" s="24"/>
      <c r="EGM8" s="24"/>
      <c r="EGN8" s="24"/>
      <c r="EGO8" s="24"/>
      <c r="EGP8" s="24"/>
      <c r="EGQ8" s="24"/>
      <c r="EGR8" s="24"/>
      <c r="EGS8" s="24"/>
      <c r="EGT8" s="24"/>
      <c r="EGU8" s="24"/>
      <c r="EGV8" s="24"/>
      <c r="EGW8" s="24"/>
      <c r="EGX8" s="24"/>
      <c r="EGY8" s="24"/>
      <c r="EGZ8" s="24"/>
      <c r="EHA8" s="24"/>
      <c r="EHB8" s="24"/>
      <c r="EHC8" s="24"/>
      <c r="EHD8" s="24"/>
      <c r="EHE8" s="24"/>
      <c r="EHF8" s="24"/>
      <c r="EHG8" s="24"/>
      <c r="EHH8" s="24"/>
      <c r="EHI8" s="24"/>
      <c r="EHJ8" s="24"/>
      <c r="EHK8" s="24"/>
      <c r="EHL8" s="24"/>
      <c r="EHM8" s="24"/>
      <c r="EHN8" s="24"/>
      <c r="EHO8" s="24"/>
      <c r="EHP8" s="24"/>
      <c r="EHQ8" s="24"/>
      <c r="EHR8" s="24"/>
      <c r="EHS8" s="24"/>
      <c r="EHT8" s="24"/>
      <c r="EHU8" s="24"/>
      <c r="EHV8" s="24"/>
      <c r="EHW8" s="24"/>
      <c r="EHX8" s="24"/>
      <c r="EHY8" s="24"/>
      <c r="EHZ8" s="24"/>
      <c r="EIA8" s="24"/>
      <c r="EIB8" s="24"/>
      <c r="EIC8" s="24"/>
      <c r="EID8" s="24"/>
      <c r="EIE8" s="24"/>
      <c r="EIF8" s="24"/>
      <c r="EIG8" s="24"/>
      <c r="EIH8" s="24"/>
      <c r="EII8" s="24"/>
      <c r="EIJ8" s="24"/>
      <c r="EIK8" s="24"/>
      <c r="EIL8" s="24"/>
      <c r="EIM8" s="24"/>
      <c r="EIN8" s="24"/>
      <c r="EIO8" s="24"/>
      <c r="EIP8" s="24"/>
      <c r="EIQ8" s="24"/>
      <c r="EIR8" s="24"/>
      <c r="EIS8" s="24"/>
      <c r="EIT8" s="24"/>
      <c r="EIU8" s="24"/>
      <c r="EIV8" s="24"/>
      <c r="EIW8" s="24"/>
      <c r="EIX8" s="24"/>
      <c r="EIY8" s="24"/>
      <c r="EIZ8" s="24"/>
      <c r="EJA8" s="24"/>
      <c r="EJB8" s="24"/>
      <c r="EJC8" s="24"/>
      <c r="EJD8" s="24"/>
      <c r="EJE8" s="24"/>
      <c r="EJF8" s="24"/>
      <c r="EJG8" s="24"/>
      <c r="EJH8" s="24"/>
      <c r="EJI8" s="24"/>
      <c r="EJJ8" s="24"/>
      <c r="EJK8" s="24"/>
      <c r="EJL8" s="24"/>
      <c r="EJM8" s="24"/>
      <c r="EJN8" s="24"/>
      <c r="EJO8" s="24"/>
      <c r="EJP8" s="24"/>
      <c r="EJQ8" s="24"/>
      <c r="EJR8" s="24"/>
      <c r="EJS8" s="24"/>
      <c r="EJT8" s="24"/>
      <c r="EJU8" s="24"/>
      <c r="EJV8" s="24"/>
      <c r="EJW8" s="24"/>
      <c r="EJX8" s="24"/>
      <c r="EJY8" s="24"/>
      <c r="EJZ8" s="24"/>
      <c r="EKA8" s="24"/>
      <c r="EKB8" s="24"/>
      <c r="EKC8" s="24"/>
      <c r="EKD8" s="24"/>
      <c r="EKE8" s="24"/>
      <c r="EKF8" s="24"/>
      <c r="EKG8" s="24"/>
      <c r="EKH8" s="24"/>
      <c r="EKI8" s="24"/>
      <c r="EKJ8" s="24"/>
      <c r="EKK8" s="24"/>
      <c r="EKL8" s="24"/>
      <c r="EKM8" s="24"/>
      <c r="EKN8" s="24"/>
      <c r="EKO8" s="24"/>
      <c r="EKP8" s="24"/>
      <c r="EKQ8" s="24"/>
      <c r="EKR8" s="24"/>
      <c r="EKS8" s="24"/>
      <c r="EKT8" s="24"/>
      <c r="EKU8" s="24"/>
      <c r="EKV8" s="24"/>
      <c r="EKW8" s="24"/>
      <c r="EKX8" s="24"/>
      <c r="EKY8" s="24"/>
      <c r="EKZ8" s="24"/>
      <c r="ELA8" s="24"/>
      <c r="ELB8" s="24"/>
      <c r="ELC8" s="24"/>
      <c r="ELD8" s="24"/>
      <c r="ELE8" s="24"/>
      <c r="ELF8" s="24"/>
      <c r="ELG8" s="24"/>
      <c r="ELH8" s="24"/>
      <c r="ELI8" s="24"/>
      <c r="ELJ8" s="24"/>
      <c r="ELK8" s="24"/>
      <c r="ELL8" s="24"/>
      <c r="ELM8" s="24"/>
      <c r="ELN8" s="24"/>
      <c r="ELO8" s="24"/>
      <c r="ELP8" s="24"/>
      <c r="ELQ8" s="24"/>
      <c r="ELR8" s="24"/>
      <c r="ELS8" s="24"/>
      <c r="ELT8" s="24"/>
      <c r="ELU8" s="24"/>
      <c r="ELV8" s="24"/>
      <c r="ELW8" s="24"/>
      <c r="ELX8" s="24"/>
      <c r="ELY8" s="24"/>
      <c r="ELZ8" s="24"/>
      <c r="EMA8" s="24"/>
      <c r="EMB8" s="24"/>
      <c r="EMC8" s="24"/>
      <c r="EMD8" s="24"/>
      <c r="EME8" s="24"/>
      <c r="EMF8" s="24"/>
      <c r="EMG8" s="24"/>
      <c r="EMH8" s="24"/>
      <c r="EMI8" s="24"/>
      <c r="EMJ8" s="24"/>
      <c r="EMK8" s="24"/>
      <c r="EML8" s="24"/>
      <c r="EMM8" s="24"/>
      <c r="EMN8" s="24"/>
      <c r="EMO8" s="24"/>
      <c r="EMP8" s="24"/>
      <c r="EMQ8" s="24"/>
      <c r="EMR8" s="24"/>
      <c r="EMS8" s="24"/>
      <c r="EMT8" s="24"/>
      <c r="EMU8" s="24"/>
      <c r="EMV8" s="24"/>
      <c r="EMW8" s="24"/>
      <c r="EMX8" s="24"/>
      <c r="EMY8" s="24"/>
      <c r="EMZ8" s="24"/>
      <c r="ENA8" s="24"/>
      <c r="ENB8" s="24"/>
      <c r="ENC8" s="24"/>
      <c r="END8" s="24"/>
      <c r="ENE8" s="24"/>
      <c r="ENF8" s="24"/>
      <c r="ENG8" s="24"/>
      <c r="ENH8" s="24"/>
      <c r="ENI8" s="24"/>
      <c r="ENJ8" s="24"/>
      <c r="ENK8" s="24"/>
      <c r="ENL8" s="24"/>
      <c r="ENM8" s="24"/>
      <c r="ENN8" s="24"/>
      <c r="ENO8" s="24"/>
      <c r="ENP8" s="24"/>
      <c r="ENQ8" s="24"/>
      <c r="ENR8" s="24"/>
      <c r="ENS8" s="24"/>
      <c r="ENT8" s="24"/>
      <c r="ENU8" s="24"/>
      <c r="ENV8" s="24"/>
      <c r="ENW8" s="24"/>
      <c r="ENX8" s="24"/>
      <c r="ENY8" s="24"/>
      <c r="ENZ8" s="24"/>
      <c r="EOA8" s="24"/>
      <c r="EOB8" s="24"/>
      <c r="EOC8" s="24"/>
      <c r="EOD8" s="24"/>
      <c r="EOE8" s="24"/>
      <c r="EOF8" s="24"/>
      <c r="EOG8" s="24"/>
      <c r="EOH8" s="24"/>
      <c r="EOI8" s="24"/>
      <c r="EOJ8" s="24"/>
      <c r="EOK8" s="24"/>
      <c r="EOL8" s="24"/>
      <c r="EOM8" s="24"/>
      <c r="EON8" s="24"/>
      <c r="EOO8" s="24"/>
      <c r="EOP8" s="24"/>
      <c r="EOQ8" s="24"/>
      <c r="EOR8" s="24"/>
      <c r="EOS8" s="24"/>
      <c r="EOT8" s="24"/>
      <c r="EOU8" s="24"/>
      <c r="EOV8" s="24"/>
      <c r="EOW8" s="24"/>
      <c r="EOX8" s="24"/>
      <c r="EOY8" s="24"/>
      <c r="EOZ8" s="24"/>
      <c r="EPA8" s="24"/>
      <c r="EPB8" s="24"/>
      <c r="EPC8" s="24"/>
      <c r="EPD8" s="24"/>
      <c r="EPE8" s="24"/>
      <c r="EPF8" s="24"/>
      <c r="EPG8" s="24"/>
      <c r="EPH8" s="24"/>
      <c r="EPI8" s="24"/>
      <c r="EPJ8" s="24"/>
      <c r="EPK8" s="24"/>
      <c r="EPL8" s="24"/>
      <c r="EPM8" s="24"/>
      <c r="EPN8" s="24"/>
      <c r="EPO8" s="24"/>
      <c r="EPP8" s="24"/>
      <c r="EPQ8" s="24"/>
      <c r="EPR8" s="24"/>
      <c r="EPS8" s="24"/>
      <c r="EPT8" s="24"/>
      <c r="EPU8" s="24"/>
      <c r="EPV8" s="24"/>
      <c r="EPW8" s="24"/>
      <c r="EPX8" s="24"/>
      <c r="EPY8" s="24"/>
      <c r="EPZ8" s="24"/>
      <c r="EQA8" s="24"/>
      <c r="EQB8" s="24"/>
      <c r="EQC8" s="24"/>
      <c r="EQD8" s="24"/>
      <c r="EQE8" s="24"/>
      <c r="EQF8" s="24"/>
      <c r="EQG8" s="24"/>
      <c r="EQH8" s="24"/>
      <c r="EQI8" s="24"/>
      <c r="EQJ8" s="24"/>
      <c r="EQK8" s="24"/>
      <c r="EQL8" s="24"/>
      <c r="EQM8" s="24"/>
      <c r="EQN8" s="24"/>
      <c r="EQO8" s="24"/>
      <c r="EQP8" s="24"/>
      <c r="EQQ8" s="24"/>
      <c r="EQR8" s="24"/>
      <c r="EQS8" s="24"/>
      <c r="EQT8" s="24"/>
      <c r="EQU8" s="24"/>
      <c r="EQV8" s="24"/>
      <c r="EQW8" s="24"/>
      <c r="EQX8" s="24"/>
      <c r="EQY8" s="24"/>
      <c r="EQZ8" s="24"/>
      <c r="ERA8" s="24"/>
      <c r="ERB8" s="24"/>
      <c r="ERC8" s="24"/>
      <c r="ERD8" s="24"/>
      <c r="ERE8" s="24"/>
      <c r="ERF8" s="24"/>
      <c r="ERG8" s="24"/>
      <c r="ERH8" s="24"/>
      <c r="ERI8" s="24"/>
      <c r="ERJ8" s="24"/>
      <c r="ERK8" s="24"/>
      <c r="ERL8" s="24"/>
      <c r="ERM8" s="24"/>
      <c r="ERN8" s="24"/>
      <c r="ERO8" s="24"/>
      <c r="ERP8" s="24"/>
      <c r="ERQ8" s="24"/>
      <c r="ERR8" s="24"/>
      <c r="ERS8" s="24"/>
      <c r="ERT8" s="24"/>
      <c r="ERU8" s="24"/>
      <c r="ERV8" s="24"/>
      <c r="ERW8" s="24"/>
      <c r="ERX8" s="24"/>
      <c r="ERY8" s="24"/>
      <c r="ERZ8" s="24"/>
      <c r="ESA8" s="24"/>
      <c r="ESB8" s="24"/>
      <c r="ESC8" s="24"/>
      <c r="ESD8" s="24"/>
      <c r="ESE8" s="24"/>
      <c r="ESF8" s="24"/>
      <c r="ESG8" s="24"/>
      <c r="ESH8" s="24"/>
      <c r="ESI8" s="24"/>
      <c r="ESJ8" s="24"/>
      <c r="ESK8" s="24"/>
      <c r="ESL8" s="24"/>
      <c r="ESM8" s="24"/>
      <c r="ESN8" s="24"/>
      <c r="ESO8" s="24"/>
      <c r="ESP8" s="24"/>
      <c r="ESQ8" s="24"/>
      <c r="ESR8" s="24"/>
      <c r="ESS8" s="24"/>
      <c r="EST8" s="24"/>
      <c r="ESU8" s="24"/>
      <c r="ESV8" s="24"/>
      <c r="ESW8" s="24"/>
      <c r="ESX8" s="24"/>
      <c r="ESY8" s="24"/>
      <c r="ESZ8" s="24"/>
      <c r="ETA8" s="24"/>
      <c r="ETB8" s="24"/>
      <c r="ETC8" s="24"/>
      <c r="ETD8" s="24"/>
      <c r="ETE8" s="24"/>
      <c r="ETF8" s="24"/>
      <c r="ETG8" s="24"/>
      <c r="ETH8" s="24"/>
      <c r="ETI8" s="24"/>
      <c r="ETJ8" s="24"/>
      <c r="ETK8" s="24"/>
      <c r="ETL8" s="24"/>
      <c r="ETM8" s="24"/>
      <c r="ETN8" s="24"/>
      <c r="ETO8" s="24"/>
      <c r="ETP8" s="24"/>
      <c r="ETQ8" s="24"/>
      <c r="ETR8" s="24"/>
      <c r="ETS8" s="24"/>
      <c r="ETT8" s="24"/>
      <c r="ETU8" s="24"/>
      <c r="ETV8" s="24"/>
      <c r="ETW8" s="24"/>
      <c r="ETX8" s="24"/>
      <c r="ETY8" s="24"/>
      <c r="ETZ8" s="24"/>
      <c r="EUA8" s="24"/>
      <c r="EUB8" s="24"/>
      <c r="EUC8" s="24"/>
      <c r="EUD8" s="24"/>
      <c r="EUE8" s="24"/>
      <c r="EUF8" s="24"/>
      <c r="EUG8" s="24"/>
      <c r="EUH8" s="24"/>
      <c r="EUI8" s="24"/>
      <c r="EUJ8" s="24"/>
      <c r="EUK8" s="24"/>
      <c r="EUL8" s="24"/>
      <c r="EUM8" s="24"/>
      <c r="EUN8" s="24"/>
      <c r="EUO8" s="24"/>
      <c r="EUP8" s="24"/>
      <c r="EUQ8" s="24"/>
      <c r="EUR8" s="24"/>
      <c r="EUS8" s="24"/>
      <c r="EUT8" s="24"/>
      <c r="EUU8" s="24"/>
      <c r="EUV8" s="24"/>
      <c r="EUW8" s="24"/>
      <c r="EUX8" s="24"/>
      <c r="EUY8" s="24"/>
      <c r="EUZ8" s="24"/>
      <c r="EVA8" s="24"/>
      <c r="EVB8" s="24"/>
      <c r="EVC8" s="24"/>
      <c r="EVD8" s="24"/>
      <c r="EVE8" s="24"/>
      <c r="EVF8" s="24"/>
      <c r="EVG8" s="24"/>
      <c r="EVH8" s="24"/>
      <c r="EVI8" s="24"/>
      <c r="EVJ8" s="24"/>
      <c r="EVK8" s="24"/>
      <c r="EVL8" s="24"/>
      <c r="EVM8" s="24"/>
      <c r="EVN8" s="24"/>
      <c r="EVO8" s="24"/>
      <c r="EVP8" s="24"/>
      <c r="EVQ8" s="24"/>
      <c r="EVR8" s="24"/>
      <c r="EVS8" s="24"/>
      <c r="EVT8" s="24"/>
      <c r="EVU8" s="24"/>
      <c r="EVV8" s="24"/>
      <c r="EVW8" s="24"/>
      <c r="EVX8" s="24"/>
      <c r="EVY8" s="24"/>
      <c r="EVZ8" s="24"/>
      <c r="EWA8" s="24"/>
      <c r="EWB8" s="24"/>
      <c r="EWC8" s="24"/>
      <c r="EWD8" s="24"/>
      <c r="EWE8" s="24"/>
      <c r="EWF8" s="24"/>
      <c r="EWG8" s="24"/>
      <c r="EWH8" s="24"/>
      <c r="EWI8" s="24"/>
      <c r="EWJ8" s="24"/>
      <c r="EWK8" s="24"/>
      <c r="EWL8" s="24"/>
      <c r="EWM8" s="24"/>
      <c r="EWN8" s="24"/>
      <c r="EWO8" s="24"/>
      <c r="EWP8" s="24"/>
      <c r="EWQ8" s="24"/>
      <c r="EWR8" s="24"/>
      <c r="EWS8" s="24"/>
      <c r="EWT8" s="24"/>
      <c r="EWU8" s="24"/>
      <c r="EWV8" s="24"/>
      <c r="EWW8" s="24"/>
      <c r="EWX8" s="24"/>
      <c r="EWY8" s="24"/>
      <c r="EWZ8" s="24"/>
      <c r="EXA8" s="24"/>
      <c r="EXB8" s="24"/>
      <c r="EXC8" s="24"/>
      <c r="EXD8" s="24"/>
      <c r="EXE8" s="24"/>
      <c r="EXF8" s="24"/>
      <c r="EXG8" s="24"/>
      <c r="EXH8" s="24"/>
      <c r="EXI8" s="24"/>
      <c r="EXJ8" s="24"/>
      <c r="EXK8" s="24"/>
      <c r="EXL8" s="24"/>
      <c r="EXM8" s="24"/>
      <c r="EXN8" s="24"/>
      <c r="EXO8" s="24"/>
      <c r="EXP8" s="24"/>
      <c r="EXQ8" s="24"/>
      <c r="EXR8" s="24"/>
      <c r="EXS8" s="24"/>
      <c r="EXT8" s="24"/>
      <c r="EXU8" s="24"/>
      <c r="EXV8" s="24"/>
      <c r="EXW8" s="24"/>
      <c r="EXX8" s="24"/>
      <c r="EXY8" s="24"/>
      <c r="EXZ8" s="24"/>
      <c r="EYA8" s="24"/>
      <c r="EYB8" s="24"/>
      <c r="EYC8" s="24"/>
      <c r="EYD8" s="24"/>
      <c r="EYE8" s="24"/>
      <c r="EYF8" s="24"/>
      <c r="EYG8" s="24"/>
      <c r="EYH8" s="24"/>
      <c r="EYI8" s="24"/>
      <c r="EYJ8" s="24"/>
      <c r="EYK8" s="24"/>
      <c r="EYL8" s="24"/>
      <c r="EYM8" s="24"/>
      <c r="EYN8" s="24"/>
      <c r="EYO8" s="24"/>
      <c r="EYP8" s="24"/>
      <c r="EYQ8" s="24"/>
      <c r="EYR8" s="24"/>
      <c r="EYS8" s="24"/>
      <c r="EYT8" s="24"/>
      <c r="EYU8" s="24"/>
      <c r="EYV8" s="24"/>
      <c r="EYW8" s="24"/>
      <c r="EYX8" s="24"/>
      <c r="EYY8" s="24"/>
      <c r="EYZ8" s="24"/>
      <c r="EZA8" s="24"/>
      <c r="EZB8" s="24"/>
      <c r="EZC8" s="24"/>
      <c r="EZD8" s="24"/>
      <c r="EZE8" s="24"/>
      <c r="EZF8" s="24"/>
      <c r="EZG8" s="24"/>
      <c r="EZH8" s="24"/>
      <c r="EZI8" s="24"/>
      <c r="EZJ8" s="24"/>
      <c r="EZK8" s="24"/>
      <c r="EZL8" s="24"/>
      <c r="EZM8" s="24"/>
      <c r="EZN8" s="24"/>
      <c r="EZO8" s="24"/>
      <c r="EZP8" s="24"/>
      <c r="EZQ8" s="24"/>
      <c r="EZR8" s="24"/>
      <c r="EZS8" s="24"/>
      <c r="EZT8" s="24"/>
      <c r="EZU8" s="24"/>
      <c r="EZV8" s="24"/>
      <c r="EZW8" s="24"/>
      <c r="EZX8" s="24"/>
      <c r="EZY8" s="24"/>
      <c r="EZZ8" s="24"/>
      <c r="FAA8" s="24"/>
      <c r="FAB8" s="24"/>
      <c r="FAC8" s="24"/>
      <c r="FAD8" s="24"/>
      <c r="FAE8" s="24"/>
      <c r="FAF8" s="24"/>
      <c r="FAG8" s="24"/>
      <c r="FAH8" s="24"/>
      <c r="FAI8" s="24"/>
      <c r="FAJ8" s="24"/>
      <c r="FAK8" s="24"/>
      <c r="FAL8" s="24"/>
      <c r="FAM8" s="24"/>
      <c r="FAN8" s="24"/>
      <c r="FAO8" s="24"/>
      <c r="FAP8" s="24"/>
      <c r="FAQ8" s="24"/>
      <c r="FAR8" s="24"/>
      <c r="FAS8" s="24"/>
      <c r="FAT8" s="24"/>
      <c r="FAU8" s="24"/>
      <c r="FAV8" s="24"/>
      <c r="FAW8" s="24"/>
      <c r="FAX8" s="24"/>
      <c r="FAY8" s="24"/>
      <c r="FAZ8" s="24"/>
      <c r="FBA8" s="24"/>
      <c r="FBB8" s="24"/>
      <c r="FBC8" s="24"/>
      <c r="FBD8" s="24"/>
      <c r="FBE8" s="24"/>
      <c r="FBF8" s="24"/>
      <c r="FBG8" s="24"/>
      <c r="FBH8" s="24"/>
      <c r="FBI8" s="24"/>
      <c r="FBJ8" s="24"/>
      <c r="FBK8" s="24"/>
      <c r="FBL8" s="24"/>
      <c r="FBM8" s="24"/>
      <c r="FBN8" s="24"/>
      <c r="FBO8" s="24"/>
      <c r="FBP8" s="24"/>
      <c r="FBQ8" s="24"/>
      <c r="FBR8" s="24"/>
      <c r="FBS8" s="24"/>
      <c r="FBT8" s="24"/>
      <c r="FBU8" s="24"/>
      <c r="FBV8" s="24"/>
      <c r="FBW8" s="24"/>
      <c r="FBX8" s="24"/>
      <c r="FBY8" s="24"/>
      <c r="FBZ8" s="24"/>
      <c r="FCA8" s="24"/>
      <c r="FCB8" s="24"/>
      <c r="FCC8" s="24"/>
      <c r="FCD8" s="24"/>
      <c r="FCE8" s="24"/>
      <c r="FCF8" s="24"/>
      <c r="FCG8" s="24"/>
      <c r="FCH8" s="24"/>
      <c r="FCI8" s="24"/>
      <c r="FCJ8" s="24"/>
      <c r="FCK8" s="24"/>
      <c r="FCL8" s="24"/>
      <c r="FCM8" s="24"/>
      <c r="FCN8" s="24"/>
      <c r="FCO8" s="24"/>
      <c r="FCP8" s="24"/>
      <c r="FCQ8" s="24"/>
      <c r="FCR8" s="24"/>
      <c r="FCS8" s="24"/>
      <c r="FCT8" s="24"/>
      <c r="FCU8" s="24"/>
      <c r="FCV8" s="24"/>
      <c r="FCW8" s="24"/>
      <c r="FCX8" s="24"/>
      <c r="FCY8" s="24"/>
      <c r="FCZ8" s="24"/>
      <c r="FDA8" s="24"/>
      <c r="FDB8" s="24"/>
      <c r="FDC8" s="24"/>
      <c r="FDD8" s="24"/>
      <c r="FDE8" s="24"/>
      <c r="FDF8" s="24"/>
      <c r="FDG8" s="24"/>
      <c r="FDH8" s="24"/>
      <c r="FDI8" s="24"/>
      <c r="FDJ8" s="24"/>
      <c r="FDK8" s="24"/>
      <c r="FDL8" s="24"/>
      <c r="FDM8" s="24"/>
      <c r="FDN8" s="24"/>
      <c r="FDO8" s="24"/>
      <c r="FDP8" s="24"/>
      <c r="FDQ8" s="24"/>
      <c r="FDR8" s="24"/>
      <c r="FDS8" s="24"/>
      <c r="FDT8" s="24"/>
      <c r="FDU8" s="24"/>
      <c r="FDV8" s="24"/>
      <c r="FDW8" s="24"/>
      <c r="FDX8" s="24"/>
      <c r="FDY8" s="24"/>
      <c r="FDZ8" s="24"/>
      <c r="FEA8" s="24"/>
      <c r="FEB8" s="24"/>
      <c r="FEC8" s="24"/>
      <c r="FED8" s="24"/>
      <c r="FEE8" s="24"/>
      <c r="FEF8" s="24"/>
      <c r="FEG8" s="24"/>
      <c r="FEH8" s="24"/>
      <c r="FEI8" s="24"/>
      <c r="FEJ8" s="24"/>
      <c r="FEK8" s="24"/>
      <c r="FEL8" s="24"/>
      <c r="FEM8" s="24"/>
      <c r="FEN8" s="24"/>
      <c r="FEO8" s="24"/>
      <c r="FEP8" s="24"/>
      <c r="FEQ8" s="24"/>
      <c r="FER8" s="24"/>
      <c r="FES8" s="24"/>
      <c r="FET8" s="24"/>
      <c r="FEU8" s="24"/>
      <c r="FEV8" s="24"/>
      <c r="FEW8" s="24"/>
      <c r="FEX8" s="24"/>
      <c r="FEY8" s="24"/>
      <c r="FEZ8" s="24"/>
      <c r="FFA8" s="24"/>
      <c r="FFB8" s="24"/>
      <c r="FFC8" s="24"/>
      <c r="FFD8" s="24"/>
      <c r="FFE8" s="24"/>
      <c r="FFF8" s="24"/>
      <c r="FFG8" s="24"/>
      <c r="FFH8" s="24"/>
      <c r="FFI8" s="24"/>
      <c r="FFJ8" s="24"/>
      <c r="FFK8" s="24"/>
      <c r="FFL8" s="24"/>
      <c r="FFM8" s="24"/>
      <c r="FFN8" s="24"/>
      <c r="FFO8" s="24"/>
      <c r="FFP8" s="24"/>
      <c r="FFQ8" s="24"/>
      <c r="FFR8" s="24"/>
      <c r="FFS8" s="24"/>
      <c r="FFT8" s="24"/>
      <c r="FFU8" s="24"/>
      <c r="FFV8" s="24"/>
      <c r="FFW8" s="24"/>
      <c r="FFX8" s="24"/>
      <c r="FFY8" s="24"/>
      <c r="FFZ8" s="24"/>
      <c r="FGA8" s="24"/>
      <c r="FGB8" s="24"/>
      <c r="FGC8" s="24"/>
      <c r="FGD8" s="24"/>
      <c r="FGE8" s="24"/>
      <c r="FGF8" s="24"/>
      <c r="FGG8" s="24"/>
      <c r="FGH8" s="24"/>
      <c r="FGI8" s="24"/>
      <c r="FGJ8" s="24"/>
      <c r="FGK8" s="24"/>
      <c r="FGL8" s="24"/>
      <c r="FGM8" s="24"/>
      <c r="FGN8" s="24"/>
      <c r="FGO8" s="24"/>
      <c r="FGP8" s="24"/>
      <c r="FGQ8" s="24"/>
      <c r="FGR8" s="24"/>
      <c r="FGS8" s="24"/>
      <c r="FGT8" s="24"/>
      <c r="FGU8" s="24"/>
      <c r="FGV8" s="24"/>
      <c r="FGW8" s="24"/>
      <c r="FGX8" s="24"/>
      <c r="FGY8" s="24"/>
      <c r="FGZ8" s="24"/>
      <c r="FHA8" s="24"/>
      <c r="FHB8" s="24"/>
      <c r="FHC8" s="24"/>
      <c r="FHD8" s="24"/>
      <c r="FHE8" s="24"/>
      <c r="FHF8" s="24"/>
      <c r="FHG8" s="24"/>
      <c r="FHH8" s="24"/>
      <c r="FHI8" s="24"/>
      <c r="FHJ8" s="24"/>
      <c r="FHK8" s="24"/>
      <c r="FHL8" s="24"/>
      <c r="FHM8" s="24"/>
      <c r="FHN8" s="24"/>
      <c r="FHO8" s="24"/>
      <c r="FHP8" s="24"/>
      <c r="FHQ8" s="24"/>
      <c r="FHR8" s="24"/>
      <c r="FHS8" s="24"/>
      <c r="FHT8" s="24"/>
      <c r="FHU8" s="24"/>
      <c r="FHV8" s="24"/>
      <c r="FHW8" s="24"/>
      <c r="FHX8" s="24"/>
      <c r="FHY8" s="24"/>
      <c r="FHZ8" s="24"/>
      <c r="FIA8" s="24"/>
      <c r="FIB8" s="24"/>
      <c r="FIC8" s="24"/>
      <c r="FID8" s="24"/>
      <c r="FIE8" s="24"/>
      <c r="FIF8" s="24"/>
      <c r="FIG8" s="24"/>
      <c r="FIH8" s="24"/>
      <c r="FII8" s="24"/>
      <c r="FIJ8" s="24"/>
      <c r="FIK8" s="24"/>
      <c r="FIL8" s="24"/>
      <c r="FIM8" s="24"/>
      <c r="FIN8" s="24"/>
      <c r="FIO8" s="24"/>
      <c r="FIP8" s="24"/>
      <c r="FIQ8" s="24"/>
      <c r="FIR8" s="24"/>
      <c r="FIS8" s="24"/>
      <c r="FIT8" s="24"/>
      <c r="FIU8" s="24"/>
      <c r="FIV8" s="24"/>
      <c r="FIW8" s="24"/>
      <c r="FIX8" s="24"/>
      <c r="FIY8" s="24"/>
      <c r="FIZ8" s="24"/>
      <c r="FJA8" s="24"/>
      <c r="FJB8" s="24"/>
      <c r="FJC8" s="24"/>
      <c r="FJD8" s="24"/>
      <c r="FJE8" s="24"/>
      <c r="FJF8" s="24"/>
      <c r="FJG8" s="24"/>
      <c r="FJH8" s="24"/>
      <c r="FJI8" s="24"/>
      <c r="FJJ8" s="24"/>
      <c r="FJK8" s="24"/>
      <c r="FJL8" s="24"/>
      <c r="FJM8" s="24"/>
      <c r="FJN8" s="24"/>
      <c r="FJO8" s="24"/>
      <c r="FJP8" s="24"/>
      <c r="FJQ8" s="24"/>
      <c r="FJR8" s="24"/>
      <c r="FJS8" s="24"/>
      <c r="FJT8" s="24"/>
      <c r="FJU8" s="24"/>
      <c r="FJV8" s="24"/>
      <c r="FJW8" s="24"/>
      <c r="FJX8" s="24"/>
      <c r="FJY8" s="24"/>
      <c r="FJZ8" s="24"/>
      <c r="FKA8" s="24"/>
      <c r="FKB8" s="24"/>
      <c r="FKC8" s="24"/>
      <c r="FKD8" s="24"/>
      <c r="FKE8" s="24"/>
      <c r="FKF8" s="24"/>
      <c r="FKG8" s="24"/>
      <c r="FKH8" s="24"/>
      <c r="FKI8" s="24"/>
      <c r="FKJ8" s="24"/>
      <c r="FKK8" s="24"/>
      <c r="FKL8" s="24"/>
      <c r="FKM8" s="24"/>
      <c r="FKN8" s="24"/>
      <c r="FKO8" s="24"/>
      <c r="FKP8" s="24"/>
      <c r="FKQ8" s="24"/>
      <c r="FKR8" s="24"/>
      <c r="FKS8" s="24"/>
      <c r="FKT8" s="24"/>
      <c r="FKU8" s="24"/>
      <c r="FKV8" s="24"/>
      <c r="FKW8" s="24"/>
      <c r="FKX8" s="24"/>
      <c r="FKY8" s="24"/>
      <c r="FKZ8" s="24"/>
      <c r="FLA8" s="24"/>
      <c r="FLB8" s="24"/>
      <c r="FLC8" s="24"/>
      <c r="FLD8" s="24"/>
      <c r="FLE8" s="24"/>
      <c r="FLF8" s="24"/>
      <c r="FLG8" s="24"/>
      <c r="FLH8" s="24"/>
      <c r="FLI8" s="24"/>
      <c r="FLJ8" s="24"/>
      <c r="FLK8" s="24"/>
      <c r="FLL8" s="24"/>
      <c r="FLM8" s="24"/>
      <c r="FLN8" s="24"/>
      <c r="FLO8" s="24"/>
      <c r="FLP8" s="24"/>
      <c r="FLQ8" s="24"/>
      <c r="FLR8" s="24"/>
      <c r="FLS8" s="24"/>
      <c r="FLT8" s="24"/>
      <c r="FLU8" s="24"/>
      <c r="FLV8" s="24"/>
      <c r="FLW8" s="24"/>
      <c r="FLX8" s="24"/>
      <c r="FLY8" s="24"/>
      <c r="FLZ8" s="24"/>
      <c r="FMA8" s="24"/>
      <c r="FMB8" s="24"/>
      <c r="FMC8" s="24"/>
      <c r="FMD8" s="24"/>
      <c r="FME8" s="24"/>
      <c r="FMF8" s="24"/>
      <c r="FMG8" s="24"/>
      <c r="FMH8" s="24"/>
      <c r="FMI8" s="24"/>
      <c r="FMJ8" s="24"/>
      <c r="FMK8" s="24"/>
      <c r="FML8" s="24"/>
      <c r="FMM8" s="24"/>
      <c r="FMN8" s="24"/>
      <c r="FMO8" s="24"/>
      <c r="FMP8" s="24"/>
      <c r="FMQ8" s="24"/>
      <c r="FMR8" s="24"/>
      <c r="FMS8" s="24"/>
      <c r="FMT8" s="24"/>
      <c r="FMU8" s="24"/>
      <c r="FMV8" s="24"/>
      <c r="FMW8" s="24"/>
      <c r="FMX8" s="24"/>
      <c r="FMY8" s="24"/>
      <c r="FMZ8" s="24"/>
      <c r="FNA8" s="24"/>
      <c r="FNB8" s="24"/>
      <c r="FNC8" s="24"/>
      <c r="FND8" s="24"/>
      <c r="FNE8" s="24"/>
      <c r="FNF8" s="24"/>
      <c r="FNG8" s="24"/>
      <c r="FNH8" s="24"/>
      <c r="FNI8" s="24"/>
      <c r="FNJ8" s="24"/>
      <c r="FNK8" s="24"/>
      <c r="FNL8" s="24"/>
      <c r="FNM8" s="24"/>
      <c r="FNN8" s="24"/>
      <c r="FNO8" s="24"/>
      <c r="FNP8" s="24"/>
      <c r="FNQ8" s="24"/>
      <c r="FNR8" s="24"/>
      <c r="FNS8" s="24"/>
      <c r="FNT8" s="24"/>
      <c r="FNU8" s="24"/>
      <c r="FNV8" s="24"/>
      <c r="FNW8" s="24"/>
      <c r="FNX8" s="24"/>
      <c r="FNY8" s="24"/>
      <c r="FNZ8" s="24"/>
      <c r="FOA8" s="24"/>
      <c r="FOB8" s="24"/>
      <c r="FOC8" s="24"/>
      <c r="FOD8" s="24"/>
      <c r="FOE8" s="24"/>
      <c r="FOF8" s="24"/>
      <c r="FOG8" s="24"/>
      <c r="FOH8" s="24"/>
      <c r="FOI8" s="24"/>
      <c r="FOJ8" s="24"/>
      <c r="FOK8" s="24"/>
      <c r="FOL8" s="24"/>
      <c r="FOM8" s="24"/>
      <c r="FON8" s="24"/>
      <c r="FOO8" s="24"/>
      <c r="FOP8" s="24"/>
      <c r="FOQ8" s="24"/>
      <c r="FOR8" s="24"/>
      <c r="FOS8" s="24"/>
      <c r="FOT8" s="24"/>
      <c r="FOU8" s="24"/>
      <c r="FOV8" s="24"/>
      <c r="FOW8" s="24"/>
      <c r="FOX8" s="24"/>
      <c r="FOY8" s="24"/>
      <c r="FOZ8" s="24"/>
      <c r="FPA8" s="24"/>
      <c r="FPB8" s="24"/>
      <c r="FPC8" s="24"/>
      <c r="FPD8" s="24"/>
      <c r="FPE8" s="24"/>
      <c r="FPF8" s="24"/>
      <c r="FPG8" s="24"/>
      <c r="FPH8" s="24"/>
      <c r="FPI8" s="24"/>
      <c r="FPJ8" s="24"/>
      <c r="FPK8" s="24"/>
      <c r="FPL8" s="24"/>
      <c r="FPM8" s="24"/>
      <c r="FPN8" s="24"/>
      <c r="FPO8" s="24"/>
      <c r="FPP8" s="24"/>
      <c r="FPQ8" s="24"/>
      <c r="FPR8" s="24"/>
      <c r="FPS8" s="24"/>
      <c r="FPT8" s="24"/>
      <c r="FPU8" s="24"/>
      <c r="FPV8" s="24"/>
      <c r="FPW8" s="24"/>
      <c r="FPX8" s="24"/>
      <c r="FPY8" s="24"/>
      <c r="FPZ8" s="24"/>
      <c r="FQA8" s="24"/>
      <c r="FQB8" s="24"/>
      <c r="FQC8" s="24"/>
      <c r="FQD8" s="24"/>
      <c r="FQE8" s="24"/>
      <c r="FQF8" s="24"/>
      <c r="FQG8" s="24"/>
      <c r="FQH8" s="24"/>
      <c r="FQI8" s="24"/>
      <c r="FQJ8" s="24"/>
      <c r="FQK8" s="24"/>
      <c r="FQL8" s="24"/>
      <c r="FQM8" s="24"/>
      <c r="FQN8" s="24"/>
      <c r="FQO8" s="24"/>
      <c r="FQP8" s="24"/>
      <c r="FQQ8" s="24"/>
      <c r="FQR8" s="24"/>
      <c r="FQS8" s="24"/>
      <c r="FQT8" s="24"/>
      <c r="FQU8" s="24"/>
      <c r="FQV8" s="24"/>
      <c r="FQW8" s="24"/>
      <c r="FQX8" s="24"/>
      <c r="FQY8" s="24"/>
      <c r="FQZ8" s="24"/>
      <c r="FRA8" s="24"/>
      <c r="FRB8" s="24"/>
      <c r="FRC8" s="24"/>
      <c r="FRD8" s="24"/>
      <c r="FRE8" s="24"/>
      <c r="FRF8" s="24"/>
      <c r="FRG8" s="24"/>
      <c r="FRH8" s="24"/>
      <c r="FRI8" s="24"/>
      <c r="FRJ8" s="24"/>
      <c r="FRK8" s="24"/>
      <c r="FRL8" s="24"/>
      <c r="FRM8" s="24"/>
      <c r="FRN8" s="24"/>
      <c r="FRO8" s="24"/>
      <c r="FRP8" s="24"/>
      <c r="FRQ8" s="24"/>
      <c r="FRR8" s="24"/>
      <c r="FRS8" s="24"/>
      <c r="FRT8" s="24"/>
      <c r="FRU8" s="24"/>
      <c r="FRV8" s="24"/>
      <c r="FRW8" s="24"/>
      <c r="FRX8" s="24"/>
      <c r="FRY8" s="24"/>
      <c r="FRZ8" s="24"/>
      <c r="FSA8" s="24"/>
      <c r="FSB8" s="24"/>
      <c r="FSC8" s="24"/>
      <c r="FSD8" s="24"/>
      <c r="FSE8" s="24"/>
      <c r="FSF8" s="24"/>
      <c r="FSG8" s="24"/>
      <c r="FSH8" s="24"/>
      <c r="FSI8" s="24"/>
      <c r="FSJ8" s="24"/>
      <c r="FSK8" s="24"/>
      <c r="FSL8" s="24"/>
      <c r="FSM8" s="24"/>
      <c r="FSN8" s="24"/>
      <c r="FSO8" s="24"/>
      <c r="FSP8" s="24"/>
      <c r="FSQ8" s="24"/>
      <c r="FSR8" s="24"/>
      <c r="FSS8" s="24"/>
      <c r="FST8" s="24"/>
      <c r="FSU8" s="24"/>
      <c r="FSV8" s="24"/>
      <c r="FSW8" s="24"/>
      <c r="FSX8" s="24"/>
      <c r="FSY8" s="24"/>
      <c r="FSZ8" s="24"/>
      <c r="FTA8" s="24"/>
      <c r="FTB8" s="24"/>
      <c r="FTC8" s="24"/>
      <c r="FTD8" s="24"/>
      <c r="FTE8" s="24"/>
      <c r="FTF8" s="24"/>
      <c r="FTG8" s="24"/>
      <c r="FTH8" s="24"/>
      <c r="FTI8" s="24"/>
      <c r="FTJ8" s="24"/>
      <c r="FTK8" s="24"/>
      <c r="FTL8" s="24"/>
      <c r="FTM8" s="24"/>
      <c r="FTN8" s="24"/>
      <c r="FTO8" s="24"/>
      <c r="FTP8" s="24"/>
      <c r="FTQ8" s="24"/>
      <c r="FTR8" s="24"/>
      <c r="FTS8" s="24"/>
      <c r="FTT8" s="24"/>
      <c r="FTU8" s="24"/>
      <c r="FTV8" s="24"/>
      <c r="FTW8" s="24"/>
      <c r="FTX8" s="24"/>
      <c r="FTY8" s="24"/>
      <c r="FTZ8" s="24"/>
      <c r="FUA8" s="24"/>
      <c r="FUB8" s="24"/>
      <c r="FUC8" s="24"/>
      <c r="FUD8" s="24"/>
      <c r="FUE8" s="24"/>
      <c r="FUF8" s="24"/>
      <c r="FUG8" s="24"/>
      <c r="FUH8" s="24"/>
      <c r="FUI8" s="24"/>
      <c r="FUJ8" s="24"/>
      <c r="FUK8" s="24"/>
      <c r="FUL8" s="24"/>
      <c r="FUM8" s="24"/>
      <c r="FUN8" s="24"/>
      <c r="FUO8" s="24"/>
      <c r="FUP8" s="24"/>
      <c r="FUQ8" s="24"/>
      <c r="FUR8" s="24"/>
      <c r="FUS8" s="24"/>
      <c r="FUT8" s="24"/>
      <c r="FUU8" s="24"/>
      <c r="FUV8" s="24"/>
      <c r="FUW8" s="24"/>
      <c r="FUX8" s="24"/>
      <c r="FUY8" s="24"/>
      <c r="FUZ8" s="24"/>
      <c r="FVA8" s="24"/>
      <c r="FVB8" s="24"/>
      <c r="FVC8" s="24"/>
      <c r="FVD8" s="24"/>
      <c r="FVE8" s="24"/>
      <c r="FVF8" s="24"/>
      <c r="FVG8" s="24"/>
      <c r="FVH8" s="24"/>
      <c r="FVI8" s="24"/>
      <c r="FVJ8" s="24"/>
      <c r="FVK8" s="24"/>
      <c r="FVL8" s="24"/>
      <c r="FVM8" s="24"/>
      <c r="FVN8" s="24"/>
      <c r="FVO8" s="24"/>
      <c r="FVP8" s="24"/>
      <c r="FVQ8" s="24"/>
      <c r="FVR8" s="24"/>
      <c r="FVS8" s="24"/>
      <c r="FVT8" s="24"/>
      <c r="FVU8" s="24"/>
      <c r="FVV8" s="24"/>
      <c r="FVW8" s="24"/>
      <c r="FVX8" s="24"/>
      <c r="FVY8" s="24"/>
      <c r="FVZ8" s="24"/>
      <c r="FWA8" s="24"/>
      <c r="FWB8" s="24"/>
      <c r="FWC8" s="24"/>
      <c r="FWD8" s="24"/>
      <c r="FWE8" s="24"/>
      <c r="FWF8" s="24"/>
      <c r="FWG8" s="24"/>
      <c r="FWH8" s="24"/>
      <c r="FWI8" s="24"/>
      <c r="FWJ8" s="24"/>
      <c r="FWK8" s="24"/>
      <c r="FWL8" s="24"/>
      <c r="FWM8" s="24"/>
      <c r="FWN8" s="24"/>
      <c r="FWO8" s="24"/>
      <c r="FWP8" s="24"/>
      <c r="FWQ8" s="24"/>
      <c r="FWR8" s="24"/>
      <c r="FWS8" s="24"/>
      <c r="FWT8" s="24"/>
      <c r="FWU8" s="24"/>
      <c r="FWV8" s="24"/>
      <c r="FWW8" s="24"/>
      <c r="FWX8" s="24"/>
      <c r="FWY8" s="24"/>
      <c r="FWZ8" s="24"/>
      <c r="FXA8" s="24"/>
      <c r="FXB8" s="24"/>
      <c r="FXC8" s="24"/>
      <c r="FXD8" s="24"/>
      <c r="FXE8" s="24"/>
      <c r="FXF8" s="24"/>
      <c r="FXG8" s="24"/>
      <c r="FXH8" s="24"/>
      <c r="FXI8" s="24"/>
      <c r="FXJ8" s="24"/>
      <c r="FXK8" s="24"/>
      <c r="FXL8" s="24"/>
      <c r="FXM8" s="24"/>
      <c r="FXN8" s="24"/>
      <c r="FXO8" s="24"/>
      <c r="FXP8" s="24"/>
      <c r="FXQ8" s="24"/>
      <c r="FXR8" s="24"/>
      <c r="FXS8" s="24"/>
      <c r="FXT8" s="24"/>
      <c r="FXU8" s="24"/>
      <c r="FXV8" s="24"/>
      <c r="FXW8" s="24"/>
      <c r="FXX8" s="24"/>
      <c r="FXY8" s="24"/>
      <c r="FXZ8" s="24"/>
      <c r="FYA8" s="24"/>
      <c r="FYB8" s="24"/>
      <c r="FYC8" s="24"/>
      <c r="FYD8" s="24"/>
      <c r="FYE8" s="24"/>
      <c r="FYF8" s="24"/>
      <c r="FYG8" s="24"/>
      <c r="FYH8" s="24"/>
      <c r="FYI8" s="24"/>
      <c r="FYJ8" s="24"/>
      <c r="FYK8" s="24"/>
      <c r="FYL8" s="24"/>
      <c r="FYM8" s="24"/>
      <c r="FYN8" s="24"/>
      <c r="FYO8" s="24"/>
      <c r="FYP8" s="24"/>
      <c r="FYQ8" s="24"/>
      <c r="FYR8" s="24"/>
      <c r="FYS8" s="24"/>
      <c r="FYT8" s="24"/>
      <c r="FYU8" s="24"/>
      <c r="FYV8" s="24"/>
      <c r="FYW8" s="24"/>
      <c r="FYX8" s="24"/>
      <c r="FYY8" s="24"/>
      <c r="FYZ8" s="24"/>
      <c r="FZA8" s="24"/>
      <c r="FZB8" s="24"/>
      <c r="FZC8" s="24"/>
      <c r="FZD8" s="24"/>
      <c r="FZE8" s="24"/>
      <c r="FZF8" s="24"/>
      <c r="FZG8" s="24"/>
      <c r="FZH8" s="24"/>
      <c r="FZI8" s="24"/>
      <c r="FZJ8" s="24"/>
      <c r="FZK8" s="24"/>
      <c r="FZL8" s="24"/>
      <c r="FZM8" s="24"/>
      <c r="FZN8" s="24"/>
      <c r="FZO8" s="24"/>
      <c r="FZP8" s="24"/>
      <c r="FZQ8" s="24"/>
      <c r="FZR8" s="24"/>
      <c r="FZS8" s="24"/>
      <c r="FZT8" s="24"/>
      <c r="FZU8" s="24"/>
      <c r="FZV8" s="24"/>
      <c r="FZW8" s="24"/>
      <c r="FZX8" s="24"/>
      <c r="FZY8" s="24"/>
      <c r="FZZ8" s="24"/>
      <c r="GAA8" s="24"/>
      <c r="GAB8" s="24"/>
      <c r="GAC8" s="24"/>
      <c r="GAD8" s="24"/>
      <c r="GAE8" s="24"/>
      <c r="GAF8" s="24"/>
      <c r="GAG8" s="24"/>
      <c r="GAH8" s="24"/>
      <c r="GAI8" s="24"/>
      <c r="GAJ8" s="24"/>
      <c r="GAK8" s="24"/>
      <c r="GAL8" s="24"/>
      <c r="GAM8" s="24"/>
      <c r="GAN8" s="24"/>
      <c r="GAO8" s="24"/>
      <c r="GAP8" s="24"/>
      <c r="GAQ8" s="24"/>
      <c r="GAR8" s="24"/>
      <c r="GAS8" s="24"/>
      <c r="GAT8" s="24"/>
      <c r="GAU8" s="24"/>
      <c r="GAV8" s="24"/>
      <c r="GAW8" s="24"/>
      <c r="GAX8" s="24"/>
      <c r="GAY8" s="24"/>
      <c r="GAZ8" s="24"/>
      <c r="GBA8" s="24"/>
      <c r="GBB8" s="24"/>
      <c r="GBC8" s="24"/>
      <c r="GBD8" s="24"/>
      <c r="GBE8" s="24"/>
      <c r="GBF8" s="24"/>
      <c r="GBG8" s="24"/>
      <c r="GBH8" s="24"/>
      <c r="GBI8" s="24"/>
      <c r="GBJ8" s="24"/>
      <c r="GBK8" s="24"/>
      <c r="GBL8" s="24"/>
      <c r="GBM8" s="24"/>
      <c r="GBN8" s="24"/>
      <c r="GBO8" s="24"/>
      <c r="GBP8" s="24"/>
      <c r="GBQ8" s="24"/>
      <c r="GBR8" s="24"/>
      <c r="GBS8" s="24"/>
      <c r="GBT8" s="24"/>
      <c r="GBU8" s="24"/>
      <c r="GBV8" s="24"/>
      <c r="GBW8" s="24"/>
      <c r="GBX8" s="24"/>
      <c r="GBY8" s="24"/>
      <c r="GBZ8" s="24"/>
      <c r="GCA8" s="24"/>
      <c r="GCB8" s="24"/>
      <c r="GCC8" s="24"/>
      <c r="GCD8" s="24"/>
      <c r="GCE8" s="24"/>
      <c r="GCF8" s="24"/>
      <c r="GCG8" s="24"/>
      <c r="GCH8" s="24"/>
      <c r="GCI8" s="24"/>
      <c r="GCJ8" s="24"/>
      <c r="GCK8" s="24"/>
      <c r="GCL8" s="24"/>
      <c r="GCM8" s="24"/>
      <c r="GCN8" s="24"/>
      <c r="GCO8" s="24"/>
      <c r="GCP8" s="24"/>
      <c r="GCQ8" s="24"/>
      <c r="GCR8" s="24"/>
      <c r="GCS8" s="24"/>
      <c r="GCT8" s="24"/>
      <c r="GCU8" s="24"/>
      <c r="GCV8" s="24"/>
      <c r="GCW8" s="24"/>
      <c r="GCX8" s="24"/>
      <c r="GCY8" s="24"/>
      <c r="GCZ8" s="24"/>
      <c r="GDA8" s="24"/>
      <c r="GDB8" s="24"/>
      <c r="GDC8" s="24"/>
      <c r="GDD8" s="24"/>
      <c r="GDE8" s="24"/>
      <c r="GDF8" s="24"/>
      <c r="GDG8" s="24"/>
      <c r="GDH8" s="24"/>
      <c r="GDI8" s="24"/>
      <c r="GDJ8" s="24"/>
      <c r="GDK8" s="24"/>
      <c r="GDL8" s="24"/>
      <c r="GDM8" s="24"/>
      <c r="GDN8" s="24"/>
      <c r="GDO8" s="24"/>
      <c r="GDP8" s="24"/>
      <c r="GDQ8" s="24"/>
      <c r="GDR8" s="24"/>
      <c r="GDS8" s="24"/>
      <c r="GDT8" s="24"/>
      <c r="GDU8" s="24"/>
      <c r="GDV8" s="24"/>
      <c r="GDW8" s="24"/>
      <c r="GDX8" s="24"/>
      <c r="GDY8" s="24"/>
      <c r="GDZ8" s="24"/>
      <c r="GEA8" s="24"/>
      <c r="GEB8" s="24"/>
      <c r="GEC8" s="24"/>
      <c r="GED8" s="24"/>
      <c r="GEE8" s="24"/>
      <c r="GEF8" s="24"/>
      <c r="GEG8" s="24"/>
      <c r="GEH8" s="24"/>
      <c r="GEI8" s="24"/>
      <c r="GEJ8" s="24"/>
      <c r="GEK8" s="24"/>
      <c r="GEL8" s="24"/>
      <c r="GEM8" s="24"/>
      <c r="GEN8" s="24"/>
      <c r="GEO8" s="24"/>
      <c r="GEP8" s="24"/>
      <c r="GEQ8" s="24"/>
      <c r="GER8" s="24"/>
      <c r="GES8" s="24"/>
      <c r="GET8" s="24"/>
      <c r="GEU8" s="24"/>
      <c r="GEV8" s="24"/>
      <c r="GEW8" s="24"/>
      <c r="GEX8" s="24"/>
      <c r="GEY8" s="24"/>
      <c r="GEZ8" s="24"/>
      <c r="GFA8" s="24"/>
      <c r="GFB8" s="24"/>
      <c r="GFC8" s="24"/>
      <c r="GFD8" s="24"/>
      <c r="GFE8" s="24"/>
      <c r="GFF8" s="24"/>
      <c r="GFG8" s="24"/>
      <c r="GFH8" s="24"/>
      <c r="GFI8" s="24"/>
      <c r="GFJ8" s="24"/>
      <c r="GFK8" s="24"/>
      <c r="GFL8" s="24"/>
      <c r="GFM8" s="24"/>
      <c r="GFN8" s="24"/>
      <c r="GFO8" s="24"/>
      <c r="GFP8" s="24"/>
      <c r="GFQ8" s="24"/>
      <c r="GFR8" s="24"/>
      <c r="GFS8" s="24"/>
      <c r="GFT8" s="24"/>
      <c r="GFU8" s="24"/>
      <c r="GFV8" s="24"/>
      <c r="GFW8" s="24"/>
      <c r="GFX8" s="24"/>
      <c r="GFY8" s="24"/>
      <c r="GFZ8" s="24"/>
      <c r="GGA8" s="24"/>
      <c r="GGB8" s="24"/>
      <c r="GGC8" s="24"/>
      <c r="GGD8" s="24"/>
      <c r="GGE8" s="24"/>
      <c r="GGF8" s="24"/>
      <c r="GGG8" s="24"/>
      <c r="GGH8" s="24"/>
      <c r="GGI8" s="24"/>
      <c r="GGJ8" s="24"/>
      <c r="GGK8" s="24"/>
      <c r="GGL8" s="24"/>
      <c r="GGM8" s="24"/>
      <c r="GGN8" s="24"/>
      <c r="GGO8" s="24"/>
      <c r="GGP8" s="24"/>
      <c r="GGQ8" s="24"/>
      <c r="GGR8" s="24"/>
      <c r="GGS8" s="24"/>
      <c r="GGT8" s="24"/>
      <c r="GGU8" s="24"/>
      <c r="GGV8" s="24"/>
      <c r="GGW8" s="24"/>
      <c r="GGX8" s="24"/>
      <c r="GGY8" s="24"/>
      <c r="GGZ8" s="24"/>
      <c r="GHA8" s="24"/>
      <c r="GHB8" s="24"/>
      <c r="GHC8" s="24"/>
      <c r="GHD8" s="24"/>
      <c r="GHE8" s="24"/>
      <c r="GHF8" s="24"/>
      <c r="GHG8" s="24"/>
      <c r="GHH8" s="24"/>
      <c r="GHI8" s="24"/>
      <c r="GHJ8" s="24"/>
      <c r="GHK8" s="24"/>
      <c r="GHL8" s="24"/>
      <c r="GHM8" s="24"/>
      <c r="GHN8" s="24"/>
      <c r="GHO8" s="24"/>
      <c r="GHP8" s="24"/>
      <c r="GHQ8" s="24"/>
      <c r="GHR8" s="24"/>
      <c r="GHS8" s="24"/>
      <c r="GHT8" s="24"/>
      <c r="GHU8" s="24"/>
      <c r="GHV8" s="24"/>
      <c r="GHW8" s="24"/>
      <c r="GHX8" s="24"/>
      <c r="GHY8" s="24"/>
      <c r="GHZ8" s="24"/>
      <c r="GIA8" s="24"/>
      <c r="GIB8" s="24"/>
      <c r="GIC8" s="24"/>
      <c r="GID8" s="24"/>
      <c r="GIE8" s="24"/>
      <c r="GIF8" s="24"/>
      <c r="GIG8" s="24"/>
      <c r="GIH8" s="24"/>
      <c r="GII8" s="24"/>
      <c r="GIJ8" s="24"/>
      <c r="GIK8" s="24"/>
      <c r="GIL8" s="24"/>
      <c r="GIM8" s="24"/>
      <c r="GIN8" s="24"/>
      <c r="GIO8" s="24"/>
      <c r="GIP8" s="24"/>
      <c r="GIQ8" s="24"/>
      <c r="GIR8" s="24"/>
      <c r="GIS8" s="24"/>
      <c r="GIT8" s="24"/>
      <c r="GIU8" s="24"/>
      <c r="GIV8" s="24"/>
      <c r="GIW8" s="24"/>
      <c r="GIX8" s="24"/>
      <c r="GIY8" s="24"/>
      <c r="GIZ8" s="24"/>
      <c r="GJA8" s="24"/>
      <c r="GJB8" s="24"/>
      <c r="GJC8" s="24"/>
      <c r="GJD8" s="24"/>
      <c r="GJE8" s="24"/>
      <c r="GJF8" s="24"/>
      <c r="GJG8" s="24"/>
      <c r="GJH8" s="24"/>
      <c r="GJI8" s="24"/>
      <c r="GJJ8" s="24"/>
      <c r="GJK8" s="24"/>
      <c r="GJL8" s="24"/>
      <c r="GJM8" s="24"/>
      <c r="GJN8" s="24"/>
      <c r="GJO8" s="24"/>
      <c r="GJP8" s="24"/>
      <c r="GJQ8" s="24"/>
      <c r="GJR8" s="24"/>
      <c r="GJS8" s="24"/>
      <c r="GJT8" s="24"/>
      <c r="GJU8" s="24"/>
      <c r="GJV8" s="24"/>
      <c r="GJW8" s="24"/>
      <c r="GJX8" s="24"/>
      <c r="GJY8" s="24"/>
      <c r="GJZ8" s="24"/>
      <c r="GKA8" s="24"/>
      <c r="GKB8" s="24"/>
      <c r="GKC8" s="24"/>
      <c r="GKD8" s="24"/>
      <c r="GKE8" s="24"/>
      <c r="GKF8" s="24"/>
      <c r="GKG8" s="24"/>
      <c r="GKH8" s="24"/>
      <c r="GKI8" s="24"/>
      <c r="GKJ8" s="24"/>
      <c r="GKK8" s="24"/>
      <c r="GKL8" s="24"/>
      <c r="GKM8" s="24"/>
      <c r="GKN8" s="24"/>
      <c r="GKO8" s="24"/>
      <c r="GKP8" s="24"/>
      <c r="GKQ8" s="24"/>
      <c r="GKR8" s="24"/>
      <c r="GKS8" s="24"/>
      <c r="GKT8" s="24"/>
      <c r="GKU8" s="24"/>
      <c r="GKV8" s="24"/>
      <c r="GKW8" s="24"/>
      <c r="GKX8" s="24"/>
      <c r="GKY8" s="24"/>
      <c r="GKZ8" s="24"/>
      <c r="GLA8" s="24"/>
      <c r="GLB8" s="24"/>
      <c r="GLC8" s="24"/>
      <c r="GLD8" s="24"/>
      <c r="GLE8" s="24"/>
      <c r="GLF8" s="24"/>
      <c r="GLG8" s="24"/>
      <c r="GLH8" s="24"/>
      <c r="GLI8" s="24"/>
      <c r="GLJ8" s="24"/>
      <c r="GLK8" s="24"/>
      <c r="GLL8" s="24"/>
      <c r="GLM8" s="24"/>
      <c r="GLN8" s="24"/>
      <c r="GLO8" s="24"/>
      <c r="GLP8" s="24"/>
      <c r="GLQ8" s="24"/>
      <c r="GLR8" s="24"/>
      <c r="GLS8" s="24"/>
      <c r="GLT8" s="24"/>
      <c r="GLU8" s="24"/>
      <c r="GLV8" s="24"/>
      <c r="GLW8" s="24"/>
      <c r="GLX8" s="24"/>
      <c r="GLY8" s="24"/>
      <c r="GLZ8" s="24"/>
      <c r="GMA8" s="24"/>
      <c r="GMB8" s="24"/>
      <c r="GMC8" s="24"/>
      <c r="GMD8" s="24"/>
      <c r="GME8" s="24"/>
      <c r="GMF8" s="24"/>
      <c r="GMG8" s="24"/>
      <c r="GMH8" s="24"/>
      <c r="GMI8" s="24"/>
      <c r="GMJ8" s="24"/>
      <c r="GMK8" s="24"/>
      <c r="GML8" s="24"/>
      <c r="GMM8" s="24"/>
      <c r="GMN8" s="24"/>
      <c r="GMO8" s="24"/>
      <c r="GMP8" s="24"/>
      <c r="GMQ8" s="24"/>
      <c r="GMR8" s="24"/>
      <c r="GMS8" s="24"/>
      <c r="GMT8" s="24"/>
      <c r="GMU8" s="24"/>
      <c r="GMV8" s="24"/>
      <c r="GMW8" s="24"/>
      <c r="GMX8" s="24"/>
      <c r="GMY8" s="24"/>
      <c r="GMZ8" s="24"/>
      <c r="GNA8" s="24"/>
      <c r="GNB8" s="24"/>
      <c r="GNC8" s="24"/>
      <c r="GND8" s="24"/>
      <c r="GNE8" s="24"/>
      <c r="GNF8" s="24"/>
      <c r="GNG8" s="24"/>
      <c r="GNH8" s="24"/>
      <c r="GNI8" s="24"/>
      <c r="GNJ8" s="24"/>
      <c r="GNK8" s="24"/>
      <c r="GNL8" s="24"/>
      <c r="GNM8" s="24"/>
      <c r="GNN8" s="24"/>
      <c r="GNO8" s="24"/>
      <c r="GNP8" s="24"/>
      <c r="GNQ8" s="24"/>
      <c r="GNR8" s="24"/>
      <c r="GNS8" s="24"/>
      <c r="GNT8" s="24"/>
      <c r="GNU8" s="24"/>
      <c r="GNV8" s="24"/>
      <c r="GNW8" s="24"/>
      <c r="GNX8" s="24"/>
      <c r="GNY8" s="24"/>
      <c r="GNZ8" s="24"/>
      <c r="GOA8" s="24"/>
      <c r="GOB8" s="24"/>
      <c r="GOC8" s="24"/>
      <c r="GOD8" s="24"/>
      <c r="GOE8" s="24"/>
      <c r="GOF8" s="24"/>
      <c r="GOG8" s="24"/>
      <c r="GOH8" s="24"/>
      <c r="GOI8" s="24"/>
      <c r="GOJ8" s="24"/>
      <c r="GOK8" s="24"/>
      <c r="GOL8" s="24"/>
      <c r="GOM8" s="24"/>
      <c r="GON8" s="24"/>
      <c r="GOO8" s="24"/>
      <c r="GOP8" s="24"/>
      <c r="GOQ8" s="24"/>
      <c r="GOR8" s="24"/>
      <c r="GOS8" s="24"/>
      <c r="GOT8" s="24"/>
      <c r="GOU8" s="24"/>
      <c r="GOV8" s="24"/>
      <c r="GOW8" s="24"/>
      <c r="GOX8" s="24"/>
      <c r="GOY8" s="24"/>
      <c r="GOZ8" s="24"/>
      <c r="GPA8" s="24"/>
      <c r="GPB8" s="24"/>
      <c r="GPC8" s="24"/>
      <c r="GPD8" s="24"/>
      <c r="GPE8" s="24"/>
      <c r="GPF8" s="24"/>
      <c r="GPG8" s="24"/>
      <c r="GPH8" s="24"/>
      <c r="GPI8" s="24"/>
      <c r="GPJ8" s="24"/>
      <c r="GPK8" s="24"/>
      <c r="GPL8" s="24"/>
      <c r="GPM8" s="24"/>
      <c r="GPN8" s="24"/>
      <c r="GPO8" s="24"/>
      <c r="GPP8" s="24"/>
      <c r="GPQ8" s="24"/>
      <c r="GPR8" s="24"/>
      <c r="GPS8" s="24"/>
      <c r="GPT8" s="24"/>
      <c r="GPU8" s="24"/>
      <c r="GPV8" s="24"/>
      <c r="GPW8" s="24"/>
      <c r="GPX8" s="24"/>
      <c r="GPY8" s="24"/>
      <c r="GPZ8" s="24"/>
      <c r="GQA8" s="24"/>
      <c r="GQB8" s="24"/>
      <c r="GQC8" s="24"/>
      <c r="GQD8" s="24"/>
      <c r="GQE8" s="24"/>
      <c r="GQF8" s="24"/>
      <c r="GQG8" s="24"/>
      <c r="GQH8" s="24"/>
      <c r="GQI8" s="24"/>
      <c r="GQJ8" s="24"/>
      <c r="GQK8" s="24"/>
      <c r="GQL8" s="24"/>
      <c r="GQM8" s="24"/>
      <c r="GQN8" s="24"/>
      <c r="GQO8" s="24"/>
      <c r="GQP8" s="24"/>
      <c r="GQQ8" s="24"/>
      <c r="GQR8" s="24"/>
      <c r="GQS8" s="24"/>
      <c r="GQT8" s="24"/>
      <c r="GQU8" s="24"/>
      <c r="GQV8" s="24"/>
      <c r="GQW8" s="24"/>
      <c r="GQX8" s="24"/>
      <c r="GQY8" s="24"/>
      <c r="GQZ8" s="24"/>
      <c r="GRA8" s="24"/>
      <c r="GRB8" s="24"/>
      <c r="GRC8" s="24"/>
      <c r="GRD8" s="24"/>
      <c r="GRE8" s="24"/>
      <c r="GRF8" s="24"/>
      <c r="GRG8" s="24"/>
      <c r="GRH8" s="24"/>
      <c r="GRI8" s="24"/>
      <c r="GRJ8" s="24"/>
      <c r="GRK8" s="24"/>
      <c r="GRL8" s="24"/>
      <c r="GRM8" s="24"/>
      <c r="GRN8" s="24"/>
      <c r="GRO8" s="24"/>
      <c r="GRP8" s="24"/>
      <c r="GRQ8" s="24"/>
      <c r="GRR8" s="24"/>
      <c r="GRS8" s="24"/>
      <c r="GRT8" s="24"/>
      <c r="GRU8" s="24"/>
      <c r="GRV8" s="24"/>
      <c r="GRW8" s="24"/>
      <c r="GRX8" s="24"/>
      <c r="GRY8" s="24"/>
      <c r="GRZ8" s="24"/>
      <c r="GSA8" s="24"/>
      <c r="GSB8" s="24"/>
      <c r="GSC8" s="24"/>
      <c r="GSD8" s="24"/>
      <c r="GSE8" s="24"/>
      <c r="GSF8" s="24"/>
      <c r="GSG8" s="24"/>
      <c r="GSH8" s="24"/>
      <c r="GSI8" s="24"/>
      <c r="GSJ8" s="24"/>
      <c r="GSK8" s="24"/>
      <c r="GSL8" s="24"/>
      <c r="GSM8" s="24"/>
      <c r="GSN8" s="24"/>
      <c r="GSO8" s="24"/>
      <c r="GSP8" s="24"/>
      <c r="GSQ8" s="24"/>
      <c r="GSR8" s="24"/>
      <c r="GSS8" s="24"/>
      <c r="GST8" s="24"/>
      <c r="GSU8" s="24"/>
      <c r="GSV8" s="24"/>
      <c r="GSW8" s="24"/>
      <c r="GSX8" s="24"/>
      <c r="GSY8" s="24"/>
      <c r="GSZ8" s="24"/>
      <c r="GTA8" s="24"/>
      <c r="GTB8" s="24"/>
      <c r="GTC8" s="24"/>
      <c r="GTD8" s="24"/>
      <c r="GTE8" s="24"/>
      <c r="GTF8" s="24"/>
      <c r="GTG8" s="24"/>
      <c r="GTH8" s="24"/>
      <c r="GTI8" s="24"/>
      <c r="GTJ8" s="24"/>
      <c r="GTK8" s="24"/>
      <c r="GTL8" s="24"/>
      <c r="GTM8" s="24"/>
      <c r="GTN8" s="24"/>
      <c r="GTO8" s="24"/>
      <c r="GTP8" s="24"/>
      <c r="GTQ8" s="24"/>
      <c r="GTR8" s="24"/>
      <c r="GTS8" s="24"/>
      <c r="GTT8" s="24"/>
      <c r="GTU8" s="24"/>
      <c r="GTV8" s="24"/>
      <c r="GTW8" s="24"/>
      <c r="GTX8" s="24"/>
      <c r="GTY8" s="24"/>
      <c r="GTZ8" s="24"/>
      <c r="GUA8" s="24"/>
      <c r="GUB8" s="24"/>
      <c r="GUC8" s="24"/>
      <c r="GUD8" s="24"/>
      <c r="GUE8" s="24"/>
      <c r="GUF8" s="24"/>
      <c r="GUG8" s="24"/>
      <c r="GUH8" s="24"/>
      <c r="GUI8" s="24"/>
      <c r="GUJ8" s="24"/>
      <c r="GUK8" s="24"/>
      <c r="GUL8" s="24"/>
      <c r="GUM8" s="24"/>
      <c r="GUN8" s="24"/>
      <c r="GUO8" s="24"/>
      <c r="GUP8" s="24"/>
      <c r="GUQ8" s="24"/>
      <c r="GUR8" s="24"/>
      <c r="GUS8" s="24"/>
      <c r="GUT8" s="24"/>
      <c r="GUU8" s="24"/>
      <c r="GUV8" s="24"/>
      <c r="GUW8" s="24"/>
      <c r="GUX8" s="24"/>
      <c r="GUY8" s="24"/>
      <c r="GUZ8" s="24"/>
      <c r="GVA8" s="24"/>
      <c r="GVB8" s="24"/>
      <c r="GVC8" s="24"/>
      <c r="GVD8" s="24"/>
      <c r="GVE8" s="24"/>
      <c r="GVF8" s="24"/>
      <c r="GVG8" s="24"/>
      <c r="GVH8" s="24"/>
      <c r="GVI8" s="24"/>
      <c r="GVJ8" s="24"/>
      <c r="GVK8" s="24"/>
      <c r="GVL8" s="24"/>
      <c r="GVM8" s="24"/>
      <c r="GVN8" s="24"/>
      <c r="GVO8" s="24"/>
      <c r="GVP8" s="24"/>
      <c r="GVQ8" s="24"/>
      <c r="GVR8" s="24"/>
      <c r="GVS8" s="24"/>
      <c r="GVT8" s="24"/>
      <c r="GVU8" s="24"/>
      <c r="GVV8" s="24"/>
      <c r="GVW8" s="24"/>
      <c r="GVX8" s="24"/>
      <c r="GVY8" s="24"/>
      <c r="GVZ8" s="24"/>
      <c r="GWA8" s="24"/>
      <c r="GWB8" s="24"/>
      <c r="GWC8" s="24"/>
      <c r="GWD8" s="24"/>
      <c r="GWE8" s="24"/>
      <c r="GWF8" s="24"/>
      <c r="GWG8" s="24"/>
      <c r="GWH8" s="24"/>
      <c r="GWI8" s="24"/>
      <c r="GWJ8" s="24"/>
      <c r="GWK8" s="24"/>
      <c r="GWL8" s="24"/>
      <c r="GWM8" s="24"/>
      <c r="GWN8" s="24"/>
      <c r="GWO8" s="24"/>
      <c r="GWP8" s="24"/>
      <c r="GWQ8" s="24"/>
      <c r="GWR8" s="24"/>
      <c r="GWS8" s="24"/>
      <c r="GWT8" s="24"/>
      <c r="GWU8" s="24"/>
      <c r="GWV8" s="24"/>
      <c r="GWW8" s="24"/>
      <c r="GWX8" s="24"/>
      <c r="GWY8" s="24"/>
      <c r="GWZ8" s="24"/>
      <c r="GXA8" s="24"/>
      <c r="GXB8" s="24"/>
      <c r="GXC8" s="24"/>
      <c r="GXD8" s="24"/>
      <c r="GXE8" s="24"/>
      <c r="GXF8" s="24"/>
      <c r="GXG8" s="24"/>
      <c r="GXH8" s="24"/>
      <c r="GXI8" s="24"/>
      <c r="GXJ8" s="24"/>
      <c r="GXK8" s="24"/>
      <c r="GXL8" s="24"/>
      <c r="GXM8" s="24"/>
      <c r="GXN8" s="24"/>
      <c r="GXO8" s="24"/>
      <c r="GXP8" s="24"/>
      <c r="GXQ8" s="24"/>
      <c r="GXR8" s="24"/>
      <c r="GXS8" s="24"/>
      <c r="GXT8" s="24"/>
      <c r="GXU8" s="24"/>
      <c r="GXV8" s="24"/>
      <c r="GXW8" s="24"/>
      <c r="GXX8" s="24"/>
      <c r="GXY8" s="24"/>
      <c r="GXZ8" s="24"/>
      <c r="GYA8" s="24"/>
      <c r="GYB8" s="24"/>
      <c r="GYC8" s="24"/>
      <c r="GYD8" s="24"/>
      <c r="GYE8" s="24"/>
      <c r="GYF8" s="24"/>
      <c r="GYG8" s="24"/>
      <c r="GYH8" s="24"/>
      <c r="GYI8" s="24"/>
      <c r="GYJ8" s="24"/>
      <c r="GYK8" s="24"/>
      <c r="GYL8" s="24"/>
      <c r="GYM8" s="24"/>
      <c r="GYN8" s="24"/>
      <c r="GYO8" s="24"/>
      <c r="GYP8" s="24"/>
      <c r="GYQ8" s="24"/>
      <c r="GYR8" s="24"/>
      <c r="GYS8" s="24"/>
      <c r="GYT8" s="24"/>
      <c r="GYU8" s="24"/>
      <c r="GYV8" s="24"/>
      <c r="GYW8" s="24"/>
      <c r="GYX8" s="24"/>
      <c r="GYY8" s="24"/>
      <c r="GYZ8" s="24"/>
      <c r="GZA8" s="24"/>
      <c r="GZB8" s="24"/>
      <c r="GZC8" s="24"/>
      <c r="GZD8" s="24"/>
      <c r="GZE8" s="24"/>
      <c r="GZF8" s="24"/>
      <c r="GZG8" s="24"/>
      <c r="GZH8" s="24"/>
      <c r="GZI8" s="24"/>
      <c r="GZJ8" s="24"/>
      <c r="GZK8" s="24"/>
      <c r="GZL8" s="24"/>
      <c r="GZM8" s="24"/>
      <c r="GZN8" s="24"/>
      <c r="GZO8" s="24"/>
      <c r="GZP8" s="24"/>
      <c r="GZQ8" s="24"/>
      <c r="GZR8" s="24"/>
      <c r="GZS8" s="24"/>
      <c r="GZT8" s="24"/>
      <c r="GZU8" s="24"/>
      <c r="GZV8" s="24"/>
      <c r="GZW8" s="24"/>
      <c r="GZX8" s="24"/>
      <c r="GZY8" s="24"/>
      <c r="GZZ8" s="24"/>
      <c r="HAA8" s="24"/>
      <c r="HAB8" s="24"/>
      <c r="HAC8" s="24"/>
      <c r="HAD8" s="24"/>
      <c r="HAE8" s="24"/>
      <c r="HAF8" s="24"/>
      <c r="HAG8" s="24"/>
      <c r="HAH8" s="24"/>
      <c r="HAI8" s="24"/>
      <c r="HAJ8" s="24"/>
      <c r="HAK8" s="24"/>
      <c r="HAL8" s="24"/>
      <c r="HAM8" s="24"/>
      <c r="HAN8" s="24"/>
      <c r="HAO8" s="24"/>
      <c r="HAP8" s="24"/>
      <c r="HAQ8" s="24"/>
      <c r="HAR8" s="24"/>
      <c r="HAS8" s="24"/>
      <c r="HAT8" s="24"/>
      <c r="HAU8" s="24"/>
      <c r="HAV8" s="24"/>
      <c r="HAW8" s="24"/>
      <c r="HAX8" s="24"/>
      <c r="HAY8" s="24"/>
      <c r="HAZ8" s="24"/>
      <c r="HBA8" s="24"/>
      <c r="HBB8" s="24"/>
      <c r="HBC8" s="24"/>
      <c r="HBD8" s="24"/>
      <c r="HBE8" s="24"/>
      <c r="HBF8" s="24"/>
      <c r="HBG8" s="24"/>
      <c r="HBH8" s="24"/>
      <c r="HBI8" s="24"/>
      <c r="HBJ8" s="24"/>
      <c r="HBK8" s="24"/>
      <c r="HBL8" s="24"/>
      <c r="HBM8" s="24"/>
      <c r="HBN8" s="24"/>
      <c r="HBO8" s="24"/>
      <c r="HBP8" s="24"/>
      <c r="HBQ8" s="24"/>
      <c r="HBR8" s="24"/>
      <c r="HBS8" s="24"/>
      <c r="HBT8" s="24"/>
      <c r="HBU8" s="24"/>
      <c r="HBV8" s="24"/>
      <c r="HBW8" s="24"/>
      <c r="HBX8" s="24"/>
      <c r="HBY8" s="24"/>
      <c r="HBZ8" s="24"/>
      <c r="HCA8" s="24"/>
      <c r="HCB8" s="24"/>
      <c r="HCC8" s="24"/>
      <c r="HCD8" s="24"/>
      <c r="HCE8" s="24"/>
      <c r="HCF8" s="24"/>
      <c r="HCG8" s="24"/>
      <c r="HCH8" s="24"/>
      <c r="HCI8" s="24"/>
      <c r="HCJ8" s="24"/>
      <c r="HCK8" s="24"/>
      <c r="HCL8" s="24"/>
      <c r="HCM8" s="24"/>
      <c r="HCN8" s="24"/>
      <c r="HCO8" s="24"/>
      <c r="HCP8" s="24"/>
      <c r="HCQ8" s="24"/>
      <c r="HCR8" s="24"/>
      <c r="HCS8" s="24"/>
      <c r="HCT8" s="24"/>
      <c r="HCU8" s="24"/>
      <c r="HCV8" s="24"/>
      <c r="HCW8" s="24"/>
      <c r="HCX8" s="24"/>
      <c r="HCY8" s="24"/>
      <c r="HCZ8" s="24"/>
      <c r="HDA8" s="24"/>
      <c r="HDB8" s="24"/>
      <c r="HDC8" s="24"/>
      <c r="HDD8" s="24"/>
      <c r="HDE8" s="24"/>
      <c r="HDF8" s="24"/>
      <c r="HDG8" s="24"/>
      <c r="HDH8" s="24"/>
      <c r="HDI8" s="24"/>
      <c r="HDJ8" s="24"/>
      <c r="HDK8" s="24"/>
      <c r="HDL8" s="24"/>
      <c r="HDM8" s="24"/>
      <c r="HDN8" s="24"/>
      <c r="HDO8" s="24"/>
      <c r="HDP8" s="24"/>
      <c r="HDQ8" s="24"/>
      <c r="HDR8" s="24"/>
      <c r="HDS8" s="24"/>
      <c r="HDT8" s="24"/>
      <c r="HDU8" s="24"/>
      <c r="HDV8" s="24"/>
      <c r="HDW8" s="24"/>
      <c r="HDX8" s="24"/>
      <c r="HDY8" s="24"/>
      <c r="HDZ8" s="24"/>
      <c r="HEA8" s="24"/>
      <c r="HEB8" s="24"/>
      <c r="HEC8" s="24"/>
      <c r="HED8" s="24"/>
      <c r="HEE8" s="24"/>
      <c r="HEF8" s="24"/>
      <c r="HEG8" s="24"/>
      <c r="HEH8" s="24"/>
      <c r="HEI8" s="24"/>
      <c r="HEJ8" s="24"/>
      <c r="HEK8" s="24"/>
      <c r="HEL8" s="24"/>
      <c r="HEM8" s="24"/>
      <c r="HEN8" s="24"/>
      <c r="HEO8" s="24"/>
      <c r="HEP8" s="24"/>
      <c r="HEQ8" s="24"/>
      <c r="HER8" s="24"/>
      <c r="HES8" s="24"/>
      <c r="HET8" s="24"/>
      <c r="HEU8" s="24"/>
      <c r="HEV8" s="24"/>
      <c r="HEW8" s="24"/>
      <c r="HEX8" s="24"/>
      <c r="HEY8" s="24"/>
      <c r="HEZ8" s="24"/>
      <c r="HFA8" s="24"/>
      <c r="HFB8" s="24"/>
      <c r="HFC8" s="24"/>
      <c r="HFD8" s="24"/>
      <c r="HFE8" s="24"/>
      <c r="HFF8" s="24"/>
      <c r="HFG8" s="24"/>
      <c r="HFH8" s="24"/>
      <c r="HFI8" s="24"/>
      <c r="HFJ8" s="24"/>
      <c r="HFK8" s="24"/>
      <c r="HFL8" s="24"/>
      <c r="HFM8" s="24"/>
      <c r="HFN8" s="24"/>
      <c r="HFO8" s="24"/>
      <c r="HFP8" s="24"/>
      <c r="HFQ8" s="24"/>
      <c r="HFR8" s="24"/>
      <c r="HFS8" s="24"/>
      <c r="HFT8" s="24"/>
      <c r="HFU8" s="24"/>
      <c r="HFV8" s="24"/>
      <c r="HFW8" s="24"/>
      <c r="HFX8" s="24"/>
      <c r="HFY8" s="24"/>
      <c r="HFZ8" s="24"/>
      <c r="HGA8" s="24"/>
      <c r="HGB8" s="24"/>
      <c r="HGC8" s="24"/>
      <c r="HGD8" s="24"/>
      <c r="HGE8" s="24"/>
      <c r="HGF8" s="24"/>
      <c r="HGG8" s="24"/>
      <c r="HGH8" s="24"/>
      <c r="HGI8" s="24"/>
      <c r="HGJ8" s="24"/>
      <c r="HGK8" s="24"/>
      <c r="HGL8" s="24"/>
      <c r="HGM8" s="24"/>
      <c r="HGN8" s="24"/>
      <c r="HGO8" s="24"/>
      <c r="HGP8" s="24"/>
      <c r="HGQ8" s="24"/>
      <c r="HGR8" s="24"/>
      <c r="HGS8" s="24"/>
      <c r="HGT8" s="24"/>
      <c r="HGU8" s="24"/>
      <c r="HGV8" s="24"/>
      <c r="HGW8" s="24"/>
      <c r="HGX8" s="24"/>
      <c r="HGY8" s="24"/>
      <c r="HGZ8" s="24"/>
      <c r="HHA8" s="24"/>
      <c r="HHB8" s="24"/>
      <c r="HHC8" s="24"/>
      <c r="HHD8" s="24"/>
      <c r="HHE8" s="24"/>
      <c r="HHF8" s="24"/>
      <c r="HHG8" s="24"/>
      <c r="HHH8" s="24"/>
      <c r="HHI8" s="24"/>
      <c r="HHJ8" s="24"/>
      <c r="HHK8" s="24"/>
      <c r="HHL8" s="24"/>
      <c r="HHM8" s="24"/>
      <c r="HHN8" s="24"/>
      <c r="HHO8" s="24"/>
      <c r="HHP8" s="24"/>
      <c r="HHQ8" s="24"/>
      <c r="HHR8" s="24"/>
      <c r="HHS8" s="24"/>
      <c r="HHT8" s="24"/>
      <c r="HHU8" s="24"/>
      <c r="HHV8" s="24"/>
      <c r="HHW8" s="24"/>
      <c r="HHX8" s="24"/>
      <c r="HHY8" s="24"/>
      <c r="HHZ8" s="24"/>
      <c r="HIA8" s="24"/>
      <c r="HIB8" s="24"/>
      <c r="HIC8" s="24"/>
      <c r="HID8" s="24"/>
      <c r="HIE8" s="24"/>
      <c r="HIF8" s="24"/>
      <c r="HIG8" s="24"/>
      <c r="HIH8" s="24"/>
      <c r="HII8" s="24"/>
      <c r="HIJ8" s="24"/>
      <c r="HIK8" s="24"/>
      <c r="HIL8" s="24"/>
      <c r="HIM8" s="24"/>
      <c r="HIN8" s="24"/>
      <c r="HIO8" s="24"/>
      <c r="HIP8" s="24"/>
      <c r="HIQ8" s="24"/>
      <c r="HIR8" s="24"/>
      <c r="HIS8" s="24"/>
      <c r="HIT8" s="24"/>
      <c r="HIU8" s="24"/>
      <c r="HIV8" s="24"/>
      <c r="HIW8" s="24"/>
      <c r="HIX8" s="24"/>
      <c r="HIY8" s="24"/>
      <c r="HIZ8" s="24"/>
      <c r="HJA8" s="24"/>
      <c r="HJB8" s="24"/>
      <c r="HJC8" s="24"/>
      <c r="HJD8" s="24"/>
      <c r="HJE8" s="24"/>
      <c r="HJF8" s="24"/>
      <c r="HJG8" s="24"/>
      <c r="HJH8" s="24"/>
      <c r="HJI8" s="24"/>
      <c r="HJJ8" s="24"/>
      <c r="HJK8" s="24"/>
      <c r="HJL8" s="24"/>
      <c r="HJM8" s="24"/>
      <c r="HJN8" s="24"/>
      <c r="HJO8" s="24"/>
      <c r="HJP8" s="24"/>
      <c r="HJQ8" s="24"/>
      <c r="HJR8" s="24"/>
      <c r="HJS8" s="24"/>
      <c r="HJT8" s="24"/>
      <c r="HJU8" s="24"/>
      <c r="HJV8" s="24"/>
      <c r="HJW8" s="24"/>
      <c r="HJX8" s="24"/>
      <c r="HJY8" s="24"/>
      <c r="HJZ8" s="24"/>
      <c r="HKA8" s="24"/>
      <c r="HKB8" s="24"/>
      <c r="HKC8" s="24"/>
      <c r="HKD8" s="24"/>
      <c r="HKE8" s="24"/>
      <c r="HKF8" s="24"/>
      <c r="HKG8" s="24"/>
      <c r="HKH8" s="24"/>
      <c r="HKI8" s="24"/>
      <c r="HKJ8" s="24"/>
      <c r="HKK8" s="24"/>
      <c r="HKL8" s="24"/>
      <c r="HKM8" s="24"/>
      <c r="HKN8" s="24"/>
      <c r="HKO8" s="24"/>
      <c r="HKP8" s="24"/>
      <c r="HKQ8" s="24"/>
      <c r="HKR8" s="24"/>
      <c r="HKS8" s="24"/>
      <c r="HKT8" s="24"/>
      <c r="HKU8" s="24"/>
      <c r="HKV8" s="24"/>
      <c r="HKW8" s="24"/>
      <c r="HKX8" s="24"/>
      <c r="HKY8" s="24"/>
      <c r="HKZ8" s="24"/>
      <c r="HLA8" s="24"/>
      <c r="HLB8" s="24"/>
      <c r="HLC8" s="24"/>
      <c r="HLD8" s="24"/>
      <c r="HLE8" s="24"/>
      <c r="HLF8" s="24"/>
      <c r="HLG8" s="24"/>
      <c r="HLH8" s="24"/>
      <c r="HLI8" s="24"/>
      <c r="HLJ8" s="24"/>
      <c r="HLK8" s="24"/>
      <c r="HLL8" s="24"/>
      <c r="HLM8" s="24"/>
      <c r="HLN8" s="24"/>
      <c r="HLO8" s="24"/>
      <c r="HLP8" s="24"/>
      <c r="HLQ8" s="24"/>
      <c r="HLR8" s="24"/>
      <c r="HLS8" s="24"/>
      <c r="HLT8" s="24"/>
      <c r="HLU8" s="24"/>
      <c r="HLV8" s="24"/>
      <c r="HLW8" s="24"/>
      <c r="HLX8" s="24"/>
      <c r="HLY8" s="24"/>
      <c r="HLZ8" s="24"/>
      <c r="HMA8" s="24"/>
      <c r="HMB8" s="24"/>
      <c r="HMC8" s="24"/>
      <c r="HMD8" s="24"/>
      <c r="HME8" s="24"/>
      <c r="HMF8" s="24"/>
      <c r="HMG8" s="24"/>
      <c r="HMH8" s="24"/>
      <c r="HMI8" s="24"/>
      <c r="HMJ8" s="24"/>
      <c r="HMK8" s="24"/>
      <c r="HML8" s="24"/>
      <c r="HMM8" s="24"/>
      <c r="HMN8" s="24"/>
      <c r="HMO8" s="24"/>
      <c r="HMP8" s="24"/>
      <c r="HMQ8" s="24"/>
      <c r="HMR8" s="24"/>
      <c r="HMS8" s="24"/>
      <c r="HMT8" s="24"/>
      <c r="HMU8" s="24"/>
      <c r="HMV8" s="24"/>
      <c r="HMW8" s="24"/>
      <c r="HMX8" s="24"/>
      <c r="HMY8" s="24"/>
      <c r="HMZ8" s="24"/>
      <c r="HNA8" s="24"/>
      <c r="HNB8" s="24"/>
      <c r="HNC8" s="24"/>
      <c r="HND8" s="24"/>
      <c r="HNE8" s="24"/>
      <c r="HNF8" s="24"/>
      <c r="HNG8" s="24"/>
      <c r="HNH8" s="24"/>
      <c r="HNI8" s="24"/>
      <c r="HNJ8" s="24"/>
      <c r="HNK8" s="24"/>
      <c r="HNL8" s="24"/>
      <c r="HNM8" s="24"/>
      <c r="HNN8" s="24"/>
      <c r="HNO8" s="24"/>
      <c r="HNP8" s="24"/>
      <c r="HNQ8" s="24"/>
      <c r="HNR8" s="24"/>
      <c r="HNS8" s="24"/>
      <c r="HNT8" s="24"/>
      <c r="HNU8" s="24"/>
      <c r="HNV8" s="24"/>
      <c r="HNW8" s="24"/>
      <c r="HNX8" s="24"/>
      <c r="HNY8" s="24"/>
      <c r="HNZ8" s="24"/>
      <c r="HOA8" s="24"/>
      <c r="HOB8" s="24"/>
      <c r="HOC8" s="24"/>
      <c r="HOD8" s="24"/>
      <c r="HOE8" s="24"/>
      <c r="HOF8" s="24"/>
      <c r="HOG8" s="24"/>
      <c r="HOH8" s="24"/>
      <c r="HOI8" s="24"/>
      <c r="HOJ8" s="24"/>
      <c r="HOK8" s="24"/>
      <c r="HOL8" s="24"/>
      <c r="HOM8" s="24"/>
      <c r="HON8" s="24"/>
      <c r="HOO8" s="24"/>
      <c r="HOP8" s="24"/>
      <c r="HOQ8" s="24"/>
      <c r="HOR8" s="24"/>
      <c r="HOS8" s="24"/>
      <c r="HOT8" s="24"/>
      <c r="HOU8" s="24"/>
      <c r="HOV8" s="24"/>
      <c r="HOW8" s="24"/>
      <c r="HOX8" s="24"/>
      <c r="HOY8" s="24"/>
      <c r="HOZ8" s="24"/>
      <c r="HPA8" s="24"/>
      <c r="HPB8" s="24"/>
      <c r="HPC8" s="24"/>
      <c r="HPD8" s="24"/>
      <c r="HPE8" s="24"/>
      <c r="HPF8" s="24"/>
      <c r="HPG8" s="24"/>
      <c r="HPH8" s="24"/>
      <c r="HPI8" s="24"/>
      <c r="HPJ8" s="24"/>
      <c r="HPK8" s="24"/>
      <c r="HPL8" s="24"/>
      <c r="HPM8" s="24"/>
      <c r="HPN8" s="24"/>
      <c r="HPO8" s="24"/>
      <c r="HPP8" s="24"/>
      <c r="HPQ8" s="24"/>
      <c r="HPR8" s="24"/>
      <c r="HPS8" s="24"/>
      <c r="HPT8" s="24"/>
      <c r="HPU8" s="24"/>
      <c r="HPV8" s="24"/>
      <c r="HPW8" s="24"/>
      <c r="HPX8" s="24"/>
      <c r="HPY8" s="24"/>
      <c r="HPZ8" s="24"/>
      <c r="HQA8" s="24"/>
      <c r="HQB8" s="24"/>
      <c r="HQC8" s="24"/>
      <c r="HQD8" s="24"/>
      <c r="HQE8" s="24"/>
      <c r="HQF8" s="24"/>
      <c r="HQG8" s="24"/>
      <c r="HQH8" s="24"/>
      <c r="HQI8" s="24"/>
      <c r="HQJ8" s="24"/>
      <c r="HQK8" s="24"/>
      <c r="HQL8" s="24"/>
      <c r="HQM8" s="24"/>
      <c r="HQN8" s="24"/>
      <c r="HQO8" s="24"/>
      <c r="HQP8" s="24"/>
      <c r="HQQ8" s="24"/>
      <c r="HQR8" s="24"/>
      <c r="HQS8" s="24"/>
      <c r="HQT8" s="24"/>
      <c r="HQU8" s="24"/>
      <c r="HQV8" s="24"/>
      <c r="HQW8" s="24"/>
      <c r="HQX8" s="24"/>
      <c r="HQY8" s="24"/>
      <c r="HQZ8" s="24"/>
      <c r="HRA8" s="24"/>
      <c r="HRB8" s="24"/>
      <c r="HRC8" s="24"/>
      <c r="HRD8" s="24"/>
      <c r="HRE8" s="24"/>
      <c r="HRF8" s="24"/>
      <c r="HRG8" s="24"/>
      <c r="HRH8" s="24"/>
      <c r="HRI8" s="24"/>
      <c r="HRJ8" s="24"/>
      <c r="HRK8" s="24"/>
      <c r="HRL8" s="24"/>
      <c r="HRM8" s="24"/>
      <c r="HRN8" s="24"/>
      <c r="HRO8" s="24"/>
      <c r="HRP8" s="24"/>
      <c r="HRQ8" s="24"/>
      <c r="HRR8" s="24"/>
      <c r="HRS8" s="24"/>
      <c r="HRT8" s="24"/>
      <c r="HRU8" s="24"/>
      <c r="HRV8" s="24"/>
      <c r="HRW8" s="24"/>
      <c r="HRX8" s="24"/>
      <c r="HRY8" s="24"/>
      <c r="HRZ8" s="24"/>
      <c r="HSA8" s="24"/>
      <c r="HSB8" s="24"/>
      <c r="HSC8" s="24"/>
      <c r="HSD8" s="24"/>
      <c r="HSE8" s="24"/>
      <c r="HSF8" s="24"/>
      <c r="HSG8" s="24"/>
      <c r="HSH8" s="24"/>
      <c r="HSI8" s="24"/>
      <c r="HSJ8" s="24"/>
      <c r="HSK8" s="24"/>
      <c r="HSL8" s="24"/>
      <c r="HSM8" s="24"/>
      <c r="HSN8" s="24"/>
      <c r="HSO8" s="24"/>
      <c r="HSP8" s="24"/>
      <c r="HSQ8" s="24"/>
      <c r="HSR8" s="24"/>
      <c r="HSS8" s="24"/>
      <c r="HST8" s="24"/>
      <c r="HSU8" s="24"/>
      <c r="HSV8" s="24"/>
      <c r="HSW8" s="24"/>
      <c r="HSX8" s="24"/>
      <c r="HSY8" s="24"/>
      <c r="HSZ8" s="24"/>
      <c r="HTA8" s="24"/>
      <c r="HTB8" s="24"/>
      <c r="HTC8" s="24"/>
      <c r="HTD8" s="24"/>
      <c r="HTE8" s="24"/>
      <c r="HTF8" s="24"/>
      <c r="HTG8" s="24"/>
      <c r="HTH8" s="24"/>
      <c r="HTI8" s="24"/>
      <c r="HTJ8" s="24"/>
      <c r="HTK8" s="24"/>
      <c r="HTL8" s="24"/>
      <c r="HTM8" s="24"/>
      <c r="HTN8" s="24"/>
      <c r="HTO8" s="24"/>
      <c r="HTP8" s="24"/>
      <c r="HTQ8" s="24"/>
      <c r="HTR8" s="24"/>
      <c r="HTS8" s="24"/>
      <c r="HTT8" s="24"/>
      <c r="HTU8" s="24"/>
      <c r="HTV8" s="24"/>
      <c r="HTW8" s="24"/>
      <c r="HTX8" s="24"/>
      <c r="HTY8" s="24"/>
      <c r="HTZ8" s="24"/>
      <c r="HUA8" s="24"/>
      <c r="HUB8" s="24"/>
      <c r="HUC8" s="24"/>
      <c r="HUD8" s="24"/>
      <c r="HUE8" s="24"/>
      <c r="HUF8" s="24"/>
      <c r="HUG8" s="24"/>
      <c r="HUH8" s="24"/>
      <c r="HUI8" s="24"/>
      <c r="HUJ8" s="24"/>
      <c r="HUK8" s="24"/>
      <c r="HUL8" s="24"/>
      <c r="HUM8" s="24"/>
      <c r="HUN8" s="24"/>
      <c r="HUO8" s="24"/>
      <c r="HUP8" s="24"/>
      <c r="HUQ8" s="24"/>
      <c r="HUR8" s="24"/>
      <c r="HUS8" s="24"/>
      <c r="HUT8" s="24"/>
      <c r="HUU8" s="24"/>
      <c r="HUV8" s="24"/>
      <c r="HUW8" s="24"/>
      <c r="HUX8" s="24"/>
      <c r="HUY8" s="24"/>
      <c r="HUZ8" s="24"/>
      <c r="HVA8" s="24"/>
      <c r="HVB8" s="24"/>
      <c r="HVC8" s="24"/>
      <c r="HVD8" s="24"/>
      <c r="HVE8" s="24"/>
      <c r="HVF8" s="24"/>
      <c r="HVG8" s="24"/>
      <c r="HVH8" s="24"/>
      <c r="HVI8" s="24"/>
      <c r="HVJ8" s="24"/>
      <c r="HVK8" s="24"/>
      <c r="HVL8" s="24"/>
      <c r="HVM8" s="24"/>
      <c r="HVN8" s="24"/>
      <c r="HVO8" s="24"/>
      <c r="HVP8" s="24"/>
      <c r="HVQ8" s="24"/>
      <c r="HVR8" s="24"/>
      <c r="HVS8" s="24"/>
      <c r="HVT8" s="24"/>
      <c r="HVU8" s="24"/>
      <c r="HVV8" s="24"/>
      <c r="HVW8" s="24"/>
      <c r="HVX8" s="24"/>
      <c r="HVY8" s="24"/>
      <c r="HVZ8" s="24"/>
      <c r="HWA8" s="24"/>
      <c r="HWB8" s="24"/>
      <c r="HWC8" s="24"/>
      <c r="HWD8" s="24"/>
      <c r="HWE8" s="24"/>
      <c r="HWF8" s="24"/>
      <c r="HWG8" s="24"/>
      <c r="HWH8" s="24"/>
      <c r="HWI8" s="24"/>
      <c r="HWJ8" s="24"/>
      <c r="HWK8" s="24"/>
      <c r="HWL8" s="24"/>
      <c r="HWM8" s="24"/>
      <c r="HWN8" s="24"/>
      <c r="HWO8" s="24"/>
      <c r="HWP8" s="24"/>
      <c r="HWQ8" s="24"/>
      <c r="HWR8" s="24"/>
      <c r="HWS8" s="24"/>
      <c r="HWT8" s="24"/>
      <c r="HWU8" s="24"/>
      <c r="HWV8" s="24"/>
      <c r="HWW8" s="24"/>
      <c r="HWX8" s="24"/>
      <c r="HWY8" s="24"/>
      <c r="HWZ8" s="24"/>
      <c r="HXA8" s="24"/>
      <c r="HXB8" s="24"/>
      <c r="HXC8" s="24"/>
      <c r="HXD8" s="24"/>
      <c r="HXE8" s="24"/>
      <c r="HXF8" s="24"/>
      <c r="HXG8" s="24"/>
      <c r="HXH8" s="24"/>
      <c r="HXI8" s="24"/>
      <c r="HXJ8" s="24"/>
      <c r="HXK8" s="24"/>
      <c r="HXL8" s="24"/>
      <c r="HXM8" s="24"/>
      <c r="HXN8" s="24"/>
      <c r="HXO8" s="24"/>
      <c r="HXP8" s="24"/>
      <c r="HXQ8" s="24"/>
      <c r="HXR8" s="24"/>
      <c r="HXS8" s="24"/>
      <c r="HXT8" s="24"/>
      <c r="HXU8" s="24"/>
      <c r="HXV8" s="24"/>
      <c r="HXW8" s="24"/>
      <c r="HXX8" s="24"/>
      <c r="HXY8" s="24"/>
      <c r="HXZ8" s="24"/>
      <c r="HYA8" s="24"/>
      <c r="HYB8" s="24"/>
      <c r="HYC8" s="24"/>
      <c r="HYD8" s="24"/>
      <c r="HYE8" s="24"/>
      <c r="HYF8" s="24"/>
      <c r="HYG8" s="24"/>
      <c r="HYH8" s="24"/>
      <c r="HYI8" s="24"/>
      <c r="HYJ8" s="24"/>
      <c r="HYK8" s="24"/>
      <c r="HYL8" s="24"/>
      <c r="HYM8" s="24"/>
      <c r="HYN8" s="24"/>
      <c r="HYO8" s="24"/>
      <c r="HYP8" s="24"/>
      <c r="HYQ8" s="24"/>
      <c r="HYR8" s="24"/>
      <c r="HYS8" s="24"/>
      <c r="HYT8" s="24"/>
      <c r="HYU8" s="24"/>
      <c r="HYV8" s="24"/>
      <c r="HYW8" s="24"/>
      <c r="HYX8" s="24"/>
      <c r="HYY8" s="24"/>
      <c r="HYZ8" s="24"/>
      <c r="HZA8" s="24"/>
      <c r="HZB8" s="24"/>
      <c r="HZC8" s="24"/>
      <c r="HZD8" s="24"/>
      <c r="HZE8" s="24"/>
      <c r="HZF8" s="24"/>
      <c r="HZG8" s="24"/>
      <c r="HZH8" s="24"/>
      <c r="HZI8" s="24"/>
      <c r="HZJ8" s="24"/>
      <c r="HZK8" s="24"/>
      <c r="HZL8" s="24"/>
      <c r="HZM8" s="24"/>
      <c r="HZN8" s="24"/>
      <c r="HZO8" s="24"/>
      <c r="HZP8" s="24"/>
      <c r="HZQ8" s="24"/>
      <c r="HZR8" s="24"/>
      <c r="HZS8" s="24"/>
      <c r="HZT8" s="24"/>
      <c r="HZU8" s="24"/>
      <c r="HZV8" s="24"/>
      <c r="HZW8" s="24"/>
      <c r="HZX8" s="24"/>
      <c r="HZY8" s="24"/>
      <c r="HZZ8" s="24"/>
      <c r="IAA8" s="24"/>
      <c r="IAB8" s="24"/>
      <c r="IAC8" s="24"/>
      <c r="IAD8" s="24"/>
      <c r="IAE8" s="24"/>
      <c r="IAF8" s="24"/>
      <c r="IAG8" s="24"/>
      <c r="IAH8" s="24"/>
      <c r="IAI8" s="24"/>
      <c r="IAJ8" s="24"/>
      <c r="IAK8" s="24"/>
      <c r="IAL8" s="24"/>
      <c r="IAM8" s="24"/>
      <c r="IAN8" s="24"/>
      <c r="IAO8" s="24"/>
      <c r="IAP8" s="24"/>
      <c r="IAQ8" s="24"/>
      <c r="IAR8" s="24"/>
      <c r="IAS8" s="24"/>
      <c r="IAT8" s="24"/>
      <c r="IAU8" s="24"/>
      <c r="IAV8" s="24"/>
      <c r="IAW8" s="24"/>
      <c r="IAX8" s="24"/>
      <c r="IAY8" s="24"/>
      <c r="IAZ8" s="24"/>
      <c r="IBA8" s="24"/>
      <c r="IBB8" s="24"/>
      <c r="IBC8" s="24"/>
      <c r="IBD8" s="24"/>
      <c r="IBE8" s="24"/>
      <c r="IBF8" s="24"/>
      <c r="IBG8" s="24"/>
      <c r="IBH8" s="24"/>
      <c r="IBI8" s="24"/>
      <c r="IBJ8" s="24"/>
      <c r="IBK8" s="24"/>
      <c r="IBL8" s="24"/>
      <c r="IBM8" s="24"/>
      <c r="IBN8" s="24"/>
      <c r="IBO8" s="24"/>
      <c r="IBP8" s="24"/>
      <c r="IBQ8" s="24"/>
      <c r="IBR8" s="24"/>
      <c r="IBS8" s="24"/>
      <c r="IBT8" s="24"/>
      <c r="IBU8" s="24"/>
      <c r="IBV8" s="24"/>
      <c r="IBW8" s="24"/>
      <c r="IBX8" s="24"/>
      <c r="IBY8" s="24"/>
      <c r="IBZ8" s="24"/>
      <c r="ICA8" s="24"/>
      <c r="ICB8" s="24"/>
      <c r="ICC8" s="24"/>
      <c r="ICD8" s="24"/>
      <c r="ICE8" s="24"/>
      <c r="ICF8" s="24"/>
      <c r="ICG8" s="24"/>
      <c r="ICH8" s="24"/>
      <c r="ICI8" s="24"/>
      <c r="ICJ8" s="24"/>
      <c r="ICK8" s="24"/>
      <c r="ICL8" s="24"/>
      <c r="ICM8" s="24"/>
      <c r="ICN8" s="24"/>
      <c r="ICO8" s="24"/>
      <c r="ICP8" s="24"/>
      <c r="ICQ8" s="24"/>
      <c r="ICR8" s="24"/>
      <c r="ICS8" s="24"/>
      <c r="ICT8" s="24"/>
      <c r="ICU8" s="24"/>
      <c r="ICV8" s="24"/>
      <c r="ICW8" s="24"/>
      <c r="ICX8" s="24"/>
      <c r="ICY8" s="24"/>
      <c r="ICZ8" s="24"/>
      <c r="IDA8" s="24"/>
      <c r="IDB8" s="24"/>
      <c r="IDC8" s="24"/>
      <c r="IDD8" s="24"/>
      <c r="IDE8" s="24"/>
      <c r="IDF8" s="24"/>
      <c r="IDG8" s="24"/>
      <c r="IDH8" s="24"/>
      <c r="IDI8" s="24"/>
      <c r="IDJ8" s="24"/>
      <c r="IDK8" s="24"/>
      <c r="IDL8" s="24"/>
      <c r="IDM8" s="24"/>
      <c r="IDN8" s="24"/>
      <c r="IDO8" s="24"/>
      <c r="IDP8" s="24"/>
      <c r="IDQ8" s="24"/>
      <c r="IDR8" s="24"/>
      <c r="IDS8" s="24"/>
      <c r="IDT8" s="24"/>
      <c r="IDU8" s="24"/>
      <c r="IDV8" s="24"/>
      <c r="IDW8" s="24"/>
      <c r="IDX8" s="24"/>
      <c r="IDY8" s="24"/>
      <c r="IDZ8" s="24"/>
      <c r="IEA8" s="24"/>
      <c r="IEB8" s="24"/>
      <c r="IEC8" s="24"/>
      <c r="IED8" s="24"/>
      <c r="IEE8" s="24"/>
      <c r="IEF8" s="24"/>
      <c r="IEG8" s="24"/>
      <c r="IEH8" s="24"/>
      <c r="IEI8" s="24"/>
      <c r="IEJ8" s="24"/>
      <c r="IEK8" s="24"/>
      <c r="IEL8" s="24"/>
      <c r="IEM8" s="24"/>
      <c r="IEN8" s="24"/>
      <c r="IEO8" s="24"/>
      <c r="IEP8" s="24"/>
      <c r="IEQ8" s="24"/>
      <c r="IER8" s="24"/>
      <c r="IES8" s="24"/>
      <c r="IET8" s="24"/>
      <c r="IEU8" s="24"/>
      <c r="IEV8" s="24"/>
      <c r="IEW8" s="24"/>
      <c r="IEX8" s="24"/>
      <c r="IEY8" s="24"/>
      <c r="IEZ8" s="24"/>
      <c r="IFA8" s="24"/>
      <c r="IFB8" s="24"/>
      <c r="IFC8" s="24"/>
      <c r="IFD8" s="24"/>
      <c r="IFE8" s="24"/>
      <c r="IFF8" s="24"/>
      <c r="IFG8" s="24"/>
      <c r="IFH8" s="24"/>
      <c r="IFI8" s="24"/>
      <c r="IFJ8" s="24"/>
      <c r="IFK8" s="24"/>
      <c r="IFL8" s="24"/>
      <c r="IFM8" s="24"/>
      <c r="IFN8" s="24"/>
      <c r="IFO8" s="24"/>
      <c r="IFP8" s="24"/>
      <c r="IFQ8" s="24"/>
      <c r="IFR8" s="24"/>
      <c r="IFS8" s="24"/>
      <c r="IFT8" s="24"/>
      <c r="IFU8" s="24"/>
      <c r="IFV8" s="24"/>
      <c r="IFW8" s="24"/>
      <c r="IFX8" s="24"/>
      <c r="IFY8" s="24"/>
      <c r="IFZ8" s="24"/>
      <c r="IGA8" s="24"/>
      <c r="IGB8" s="24"/>
      <c r="IGC8" s="24"/>
      <c r="IGD8" s="24"/>
      <c r="IGE8" s="24"/>
      <c r="IGF8" s="24"/>
      <c r="IGG8" s="24"/>
      <c r="IGH8" s="24"/>
      <c r="IGI8" s="24"/>
      <c r="IGJ8" s="24"/>
      <c r="IGK8" s="24"/>
      <c r="IGL8" s="24"/>
      <c r="IGM8" s="24"/>
      <c r="IGN8" s="24"/>
      <c r="IGO8" s="24"/>
      <c r="IGP8" s="24"/>
      <c r="IGQ8" s="24"/>
      <c r="IGR8" s="24"/>
      <c r="IGS8" s="24"/>
      <c r="IGT8" s="24"/>
      <c r="IGU8" s="24"/>
      <c r="IGV8" s="24"/>
      <c r="IGW8" s="24"/>
      <c r="IGX8" s="24"/>
      <c r="IGY8" s="24"/>
      <c r="IGZ8" s="24"/>
      <c r="IHA8" s="24"/>
      <c r="IHB8" s="24"/>
      <c r="IHC8" s="24"/>
      <c r="IHD8" s="24"/>
      <c r="IHE8" s="24"/>
      <c r="IHF8" s="24"/>
      <c r="IHG8" s="24"/>
      <c r="IHH8" s="24"/>
      <c r="IHI8" s="24"/>
      <c r="IHJ8" s="24"/>
      <c r="IHK8" s="24"/>
      <c r="IHL8" s="24"/>
      <c r="IHM8" s="24"/>
      <c r="IHN8" s="24"/>
      <c r="IHO8" s="24"/>
      <c r="IHP8" s="24"/>
      <c r="IHQ8" s="24"/>
      <c r="IHR8" s="24"/>
      <c r="IHS8" s="24"/>
      <c r="IHT8" s="24"/>
      <c r="IHU8" s="24"/>
      <c r="IHV8" s="24"/>
      <c r="IHW8" s="24"/>
      <c r="IHX8" s="24"/>
      <c r="IHY8" s="24"/>
      <c r="IHZ8" s="24"/>
      <c r="IIA8" s="24"/>
      <c r="IIB8" s="24"/>
      <c r="IIC8" s="24"/>
      <c r="IID8" s="24"/>
      <c r="IIE8" s="24"/>
      <c r="IIF8" s="24"/>
      <c r="IIG8" s="24"/>
      <c r="IIH8" s="24"/>
      <c r="III8" s="24"/>
      <c r="IIJ8" s="24"/>
      <c r="IIK8" s="24"/>
      <c r="IIL8" s="24"/>
      <c r="IIM8" s="24"/>
      <c r="IIN8" s="24"/>
      <c r="IIO8" s="24"/>
      <c r="IIP8" s="24"/>
      <c r="IIQ8" s="24"/>
      <c r="IIR8" s="24"/>
      <c r="IIS8" s="24"/>
      <c r="IIT8" s="24"/>
      <c r="IIU8" s="24"/>
      <c r="IIV8" s="24"/>
      <c r="IIW8" s="24"/>
      <c r="IIX8" s="24"/>
      <c r="IIY8" s="24"/>
      <c r="IIZ8" s="24"/>
      <c r="IJA8" s="24"/>
      <c r="IJB8" s="24"/>
      <c r="IJC8" s="24"/>
      <c r="IJD8" s="24"/>
      <c r="IJE8" s="24"/>
      <c r="IJF8" s="24"/>
      <c r="IJG8" s="24"/>
      <c r="IJH8" s="24"/>
      <c r="IJI8" s="24"/>
      <c r="IJJ8" s="24"/>
      <c r="IJK8" s="24"/>
      <c r="IJL8" s="24"/>
      <c r="IJM8" s="24"/>
      <c r="IJN8" s="24"/>
      <c r="IJO8" s="24"/>
      <c r="IJP8" s="24"/>
      <c r="IJQ8" s="24"/>
      <c r="IJR8" s="24"/>
      <c r="IJS8" s="24"/>
      <c r="IJT8" s="24"/>
      <c r="IJU8" s="24"/>
      <c r="IJV8" s="24"/>
      <c r="IJW8" s="24"/>
      <c r="IJX8" s="24"/>
      <c r="IJY8" s="24"/>
      <c r="IJZ8" s="24"/>
      <c r="IKA8" s="24"/>
      <c r="IKB8" s="24"/>
      <c r="IKC8" s="24"/>
      <c r="IKD8" s="24"/>
      <c r="IKE8" s="24"/>
      <c r="IKF8" s="24"/>
      <c r="IKG8" s="24"/>
      <c r="IKH8" s="24"/>
      <c r="IKI8" s="24"/>
      <c r="IKJ8" s="24"/>
      <c r="IKK8" s="24"/>
      <c r="IKL8" s="24"/>
      <c r="IKM8" s="24"/>
      <c r="IKN8" s="24"/>
      <c r="IKO8" s="24"/>
      <c r="IKP8" s="24"/>
      <c r="IKQ8" s="24"/>
      <c r="IKR8" s="24"/>
      <c r="IKS8" s="24"/>
      <c r="IKT8" s="24"/>
      <c r="IKU8" s="24"/>
      <c r="IKV8" s="24"/>
      <c r="IKW8" s="24"/>
      <c r="IKX8" s="24"/>
      <c r="IKY8" s="24"/>
      <c r="IKZ8" s="24"/>
      <c r="ILA8" s="24"/>
      <c r="ILB8" s="24"/>
      <c r="ILC8" s="24"/>
      <c r="ILD8" s="24"/>
      <c r="ILE8" s="24"/>
      <c r="ILF8" s="24"/>
      <c r="ILG8" s="24"/>
      <c r="ILH8" s="24"/>
      <c r="ILI8" s="24"/>
      <c r="ILJ8" s="24"/>
      <c r="ILK8" s="24"/>
      <c r="ILL8" s="24"/>
      <c r="ILM8" s="24"/>
      <c r="ILN8" s="24"/>
      <c r="ILO8" s="24"/>
      <c r="ILP8" s="24"/>
      <c r="ILQ8" s="24"/>
      <c r="ILR8" s="24"/>
      <c r="ILS8" s="24"/>
      <c r="ILT8" s="24"/>
      <c r="ILU8" s="24"/>
      <c r="ILV8" s="24"/>
      <c r="ILW8" s="24"/>
      <c r="ILX8" s="24"/>
      <c r="ILY8" s="24"/>
      <c r="ILZ8" s="24"/>
      <c r="IMA8" s="24"/>
      <c r="IMB8" s="24"/>
      <c r="IMC8" s="24"/>
      <c r="IMD8" s="24"/>
      <c r="IME8" s="24"/>
      <c r="IMF8" s="24"/>
      <c r="IMG8" s="24"/>
      <c r="IMH8" s="24"/>
      <c r="IMI8" s="24"/>
      <c r="IMJ8" s="24"/>
      <c r="IMK8" s="24"/>
      <c r="IML8" s="24"/>
      <c r="IMM8" s="24"/>
      <c r="IMN8" s="24"/>
      <c r="IMO8" s="24"/>
      <c r="IMP8" s="24"/>
      <c r="IMQ8" s="24"/>
      <c r="IMR8" s="24"/>
      <c r="IMS8" s="24"/>
      <c r="IMT8" s="24"/>
      <c r="IMU8" s="24"/>
      <c r="IMV8" s="24"/>
      <c r="IMW8" s="24"/>
      <c r="IMX8" s="24"/>
      <c r="IMY8" s="24"/>
      <c r="IMZ8" s="24"/>
      <c r="INA8" s="24"/>
      <c r="INB8" s="24"/>
      <c r="INC8" s="24"/>
      <c r="IND8" s="24"/>
      <c r="INE8" s="24"/>
      <c r="INF8" s="24"/>
      <c r="ING8" s="24"/>
      <c r="INH8" s="24"/>
      <c r="INI8" s="24"/>
      <c r="INJ8" s="24"/>
      <c r="INK8" s="24"/>
      <c r="INL8" s="24"/>
      <c r="INM8" s="24"/>
      <c r="INN8" s="24"/>
      <c r="INO8" s="24"/>
      <c r="INP8" s="24"/>
      <c r="INQ8" s="24"/>
      <c r="INR8" s="24"/>
      <c r="INS8" s="24"/>
      <c r="INT8" s="24"/>
      <c r="INU8" s="24"/>
      <c r="INV8" s="24"/>
      <c r="INW8" s="24"/>
      <c r="INX8" s="24"/>
      <c r="INY8" s="24"/>
      <c r="INZ8" s="24"/>
      <c r="IOA8" s="24"/>
      <c r="IOB8" s="24"/>
      <c r="IOC8" s="24"/>
      <c r="IOD8" s="24"/>
      <c r="IOE8" s="24"/>
      <c r="IOF8" s="24"/>
      <c r="IOG8" s="24"/>
      <c r="IOH8" s="24"/>
      <c r="IOI8" s="24"/>
      <c r="IOJ8" s="24"/>
      <c r="IOK8" s="24"/>
      <c r="IOL8" s="24"/>
      <c r="IOM8" s="24"/>
      <c r="ION8" s="24"/>
      <c r="IOO8" s="24"/>
      <c r="IOP8" s="24"/>
      <c r="IOQ8" s="24"/>
      <c r="IOR8" s="24"/>
      <c r="IOS8" s="24"/>
      <c r="IOT8" s="24"/>
      <c r="IOU8" s="24"/>
      <c r="IOV8" s="24"/>
      <c r="IOW8" s="24"/>
      <c r="IOX8" s="24"/>
      <c r="IOY8" s="24"/>
      <c r="IOZ8" s="24"/>
      <c r="IPA8" s="24"/>
      <c r="IPB8" s="24"/>
      <c r="IPC8" s="24"/>
      <c r="IPD8" s="24"/>
      <c r="IPE8" s="24"/>
      <c r="IPF8" s="24"/>
      <c r="IPG8" s="24"/>
      <c r="IPH8" s="24"/>
      <c r="IPI8" s="24"/>
      <c r="IPJ8" s="24"/>
      <c r="IPK8" s="24"/>
      <c r="IPL8" s="24"/>
      <c r="IPM8" s="24"/>
      <c r="IPN8" s="24"/>
      <c r="IPO8" s="24"/>
      <c r="IPP8" s="24"/>
      <c r="IPQ8" s="24"/>
      <c r="IPR8" s="24"/>
      <c r="IPS8" s="24"/>
      <c r="IPT8" s="24"/>
      <c r="IPU8" s="24"/>
      <c r="IPV8" s="24"/>
      <c r="IPW8" s="24"/>
      <c r="IPX8" s="24"/>
      <c r="IPY8" s="24"/>
      <c r="IPZ8" s="24"/>
      <c r="IQA8" s="24"/>
      <c r="IQB8" s="24"/>
      <c r="IQC8" s="24"/>
      <c r="IQD8" s="24"/>
      <c r="IQE8" s="24"/>
      <c r="IQF8" s="24"/>
      <c r="IQG8" s="24"/>
      <c r="IQH8" s="24"/>
      <c r="IQI8" s="24"/>
      <c r="IQJ8" s="24"/>
      <c r="IQK8" s="24"/>
      <c r="IQL8" s="24"/>
      <c r="IQM8" s="24"/>
      <c r="IQN8" s="24"/>
      <c r="IQO8" s="24"/>
      <c r="IQP8" s="24"/>
      <c r="IQQ8" s="24"/>
      <c r="IQR8" s="24"/>
      <c r="IQS8" s="24"/>
      <c r="IQT8" s="24"/>
      <c r="IQU8" s="24"/>
      <c r="IQV8" s="24"/>
      <c r="IQW8" s="24"/>
      <c r="IQX8" s="24"/>
      <c r="IQY8" s="24"/>
      <c r="IQZ8" s="24"/>
      <c r="IRA8" s="24"/>
      <c r="IRB8" s="24"/>
      <c r="IRC8" s="24"/>
      <c r="IRD8" s="24"/>
      <c r="IRE8" s="24"/>
      <c r="IRF8" s="24"/>
      <c r="IRG8" s="24"/>
      <c r="IRH8" s="24"/>
      <c r="IRI8" s="24"/>
      <c r="IRJ8" s="24"/>
      <c r="IRK8" s="24"/>
      <c r="IRL8" s="24"/>
      <c r="IRM8" s="24"/>
      <c r="IRN8" s="24"/>
      <c r="IRO8" s="24"/>
      <c r="IRP8" s="24"/>
      <c r="IRQ8" s="24"/>
      <c r="IRR8" s="24"/>
      <c r="IRS8" s="24"/>
      <c r="IRT8" s="24"/>
      <c r="IRU8" s="24"/>
      <c r="IRV8" s="24"/>
      <c r="IRW8" s="24"/>
      <c r="IRX8" s="24"/>
      <c r="IRY8" s="24"/>
      <c r="IRZ8" s="24"/>
      <c r="ISA8" s="24"/>
      <c r="ISB8" s="24"/>
      <c r="ISC8" s="24"/>
      <c r="ISD8" s="24"/>
      <c r="ISE8" s="24"/>
      <c r="ISF8" s="24"/>
      <c r="ISG8" s="24"/>
      <c r="ISH8" s="24"/>
      <c r="ISI8" s="24"/>
      <c r="ISJ8" s="24"/>
      <c r="ISK8" s="24"/>
      <c r="ISL8" s="24"/>
      <c r="ISM8" s="24"/>
      <c r="ISN8" s="24"/>
      <c r="ISO8" s="24"/>
      <c r="ISP8" s="24"/>
      <c r="ISQ8" s="24"/>
      <c r="ISR8" s="24"/>
      <c r="ISS8" s="24"/>
      <c r="IST8" s="24"/>
      <c r="ISU8" s="24"/>
      <c r="ISV8" s="24"/>
      <c r="ISW8" s="24"/>
      <c r="ISX8" s="24"/>
      <c r="ISY8" s="24"/>
      <c r="ISZ8" s="24"/>
      <c r="ITA8" s="24"/>
      <c r="ITB8" s="24"/>
      <c r="ITC8" s="24"/>
      <c r="ITD8" s="24"/>
      <c r="ITE8" s="24"/>
      <c r="ITF8" s="24"/>
      <c r="ITG8" s="24"/>
      <c r="ITH8" s="24"/>
      <c r="ITI8" s="24"/>
      <c r="ITJ8" s="24"/>
      <c r="ITK8" s="24"/>
      <c r="ITL8" s="24"/>
      <c r="ITM8" s="24"/>
      <c r="ITN8" s="24"/>
      <c r="ITO8" s="24"/>
      <c r="ITP8" s="24"/>
      <c r="ITQ8" s="24"/>
      <c r="ITR8" s="24"/>
      <c r="ITS8" s="24"/>
      <c r="ITT8" s="24"/>
      <c r="ITU8" s="24"/>
      <c r="ITV8" s="24"/>
      <c r="ITW8" s="24"/>
      <c r="ITX8" s="24"/>
      <c r="ITY8" s="24"/>
      <c r="ITZ8" s="24"/>
      <c r="IUA8" s="24"/>
      <c r="IUB8" s="24"/>
      <c r="IUC8" s="24"/>
      <c r="IUD8" s="24"/>
      <c r="IUE8" s="24"/>
      <c r="IUF8" s="24"/>
      <c r="IUG8" s="24"/>
      <c r="IUH8" s="24"/>
      <c r="IUI8" s="24"/>
      <c r="IUJ8" s="24"/>
      <c r="IUK8" s="24"/>
      <c r="IUL8" s="24"/>
      <c r="IUM8" s="24"/>
      <c r="IUN8" s="24"/>
      <c r="IUO8" s="24"/>
      <c r="IUP8" s="24"/>
      <c r="IUQ8" s="24"/>
      <c r="IUR8" s="24"/>
      <c r="IUS8" s="24"/>
      <c r="IUT8" s="24"/>
      <c r="IUU8" s="24"/>
      <c r="IUV8" s="24"/>
      <c r="IUW8" s="24"/>
      <c r="IUX8" s="24"/>
      <c r="IUY8" s="24"/>
      <c r="IUZ8" s="24"/>
      <c r="IVA8" s="24"/>
      <c r="IVB8" s="24"/>
      <c r="IVC8" s="24"/>
      <c r="IVD8" s="24"/>
      <c r="IVE8" s="24"/>
      <c r="IVF8" s="24"/>
      <c r="IVG8" s="24"/>
      <c r="IVH8" s="24"/>
      <c r="IVI8" s="24"/>
      <c r="IVJ8" s="24"/>
      <c r="IVK8" s="24"/>
      <c r="IVL8" s="24"/>
      <c r="IVM8" s="24"/>
      <c r="IVN8" s="24"/>
      <c r="IVO8" s="24"/>
      <c r="IVP8" s="24"/>
      <c r="IVQ8" s="24"/>
      <c r="IVR8" s="24"/>
      <c r="IVS8" s="24"/>
      <c r="IVT8" s="24"/>
      <c r="IVU8" s="24"/>
      <c r="IVV8" s="24"/>
      <c r="IVW8" s="24"/>
      <c r="IVX8" s="24"/>
      <c r="IVY8" s="24"/>
      <c r="IVZ8" s="24"/>
      <c r="IWA8" s="24"/>
      <c r="IWB8" s="24"/>
      <c r="IWC8" s="24"/>
      <c r="IWD8" s="24"/>
      <c r="IWE8" s="24"/>
      <c r="IWF8" s="24"/>
      <c r="IWG8" s="24"/>
      <c r="IWH8" s="24"/>
      <c r="IWI8" s="24"/>
      <c r="IWJ8" s="24"/>
      <c r="IWK8" s="24"/>
      <c r="IWL8" s="24"/>
      <c r="IWM8" s="24"/>
      <c r="IWN8" s="24"/>
      <c r="IWO8" s="24"/>
      <c r="IWP8" s="24"/>
      <c r="IWQ8" s="24"/>
      <c r="IWR8" s="24"/>
      <c r="IWS8" s="24"/>
      <c r="IWT8" s="24"/>
      <c r="IWU8" s="24"/>
      <c r="IWV8" s="24"/>
      <c r="IWW8" s="24"/>
      <c r="IWX8" s="24"/>
      <c r="IWY8" s="24"/>
      <c r="IWZ8" s="24"/>
      <c r="IXA8" s="24"/>
      <c r="IXB8" s="24"/>
      <c r="IXC8" s="24"/>
      <c r="IXD8" s="24"/>
      <c r="IXE8" s="24"/>
      <c r="IXF8" s="24"/>
      <c r="IXG8" s="24"/>
      <c r="IXH8" s="24"/>
      <c r="IXI8" s="24"/>
      <c r="IXJ8" s="24"/>
      <c r="IXK8" s="24"/>
      <c r="IXL8" s="24"/>
      <c r="IXM8" s="24"/>
      <c r="IXN8" s="24"/>
      <c r="IXO8" s="24"/>
      <c r="IXP8" s="24"/>
      <c r="IXQ8" s="24"/>
      <c r="IXR8" s="24"/>
      <c r="IXS8" s="24"/>
      <c r="IXT8" s="24"/>
      <c r="IXU8" s="24"/>
      <c r="IXV8" s="24"/>
      <c r="IXW8" s="24"/>
      <c r="IXX8" s="24"/>
      <c r="IXY8" s="24"/>
      <c r="IXZ8" s="24"/>
      <c r="IYA8" s="24"/>
      <c r="IYB8" s="24"/>
      <c r="IYC8" s="24"/>
      <c r="IYD8" s="24"/>
      <c r="IYE8" s="24"/>
      <c r="IYF8" s="24"/>
      <c r="IYG8" s="24"/>
      <c r="IYH8" s="24"/>
      <c r="IYI8" s="24"/>
      <c r="IYJ8" s="24"/>
      <c r="IYK8" s="24"/>
      <c r="IYL8" s="24"/>
      <c r="IYM8" s="24"/>
      <c r="IYN8" s="24"/>
      <c r="IYO8" s="24"/>
      <c r="IYP8" s="24"/>
      <c r="IYQ8" s="24"/>
      <c r="IYR8" s="24"/>
      <c r="IYS8" s="24"/>
      <c r="IYT8" s="24"/>
      <c r="IYU8" s="24"/>
      <c r="IYV8" s="24"/>
      <c r="IYW8" s="24"/>
      <c r="IYX8" s="24"/>
      <c r="IYY8" s="24"/>
      <c r="IYZ8" s="24"/>
      <c r="IZA8" s="24"/>
      <c r="IZB8" s="24"/>
      <c r="IZC8" s="24"/>
      <c r="IZD8" s="24"/>
      <c r="IZE8" s="24"/>
      <c r="IZF8" s="24"/>
      <c r="IZG8" s="24"/>
      <c r="IZH8" s="24"/>
      <c r="IZI8" s="24"/>
      <c r="IZJ8" s="24"/>
      <c r="IZK8" s="24"/>
      <c r="IZL8" s="24"/>
      <c r="IZM8" s="24"/>
      <c r="IZN8" s="24"/>
      <c r="IZO8" s="24"/>
      <c r="IZP8" s="24"/>
      <c r="IZQ8" s="24"/>
      <c r="IZR8" s="24"/>
      <c r="IZS8" s="24"/>
      <c r="IZT8" s="24"/>
      <c r="IZU8" s="24"/>
      <c r="IZV8" s="24"/>
      <c r="IZW8" s="24"/>
      <c r="IZX8" s="24"/>
      <c r="IZY8" s="24"/>
      <c r="IZZ8" s="24"/>
      <c r="JAA8" s="24"/>
      <c r="JAB8" s="24"/>
      <c r="JAC8" s="24"/>
      <c r="JAD8" s="24"/>
      <c r="JAE8" s="24"/>
      <c r="JAF8" s="24"/>
      <c r="JAG8" s="24"/>
      <c r="JAH8" s="24"/>
      <c r="JAI8" s="24"/>
      <c r="JAJ8" s="24"/>
      <c r="JAK8" s="24"/>
      <c r="JAL8" s="24"/>
      <c r="JAM8" s="24"/>
      <c r="JAN8" s="24"/>
      <c r="JAO8" s="24"/>
      <c r="JAP8" s="24"/>
      <c r="JAQ8" s="24"/>
      <c r="JAR8" s="24"/>
      <c r="JAS8" s="24"/>
      <c r="JAT8" s="24"/>
      <c r="JAU8" s="24"/>
      <c r="JAV8" s="24"/>
      <c r="JAW8" s="24"/>
      <c r="JAX8" s="24"/>
      <c r="JAY8" s="24"/>
      <c r="JAZ8" s="24"/>
      <c r="JBA8" s="24"/>
      <c r="JBB8" s="24"/>
      <c r="JBC8" s="24"/>
      <c r="JBD8" s="24"/>
      <c r="JBE8" s="24"/>
      <c r="JBF8" s="24"/>
      <c r="JBG8" s="24"/>
      <c r="JBH8" s="24"/>
      <c r="JBI8" s="24"/>
      <c r="JBJ8" s="24"/>
      <c r="JBK8" s="24"/>
      <c r="JBL8" s="24"/>
      <c r="JBM8" s="24"/>
      <c r="JBN8" s="24"/>
      <c r="JBO8" s="24"/>
      <c r="JBP8" s="24"/>
      <c r="JBQ8" s="24"/>
      <c r="JBR8" s="24"/>
      <c r="JBS8" s="24"/>
      <c r="JBT8" s="24"/>
      <c r="JBU8" s="24"/>
      <c r="JBV8" s="24"/>
      <c r="JBW8" s="24"/>
      <c r="JBX8" s="24"/>
      <c r="JBY8" s="24"/>
      <c r="JBZ8" s="24"/>
      <c r="JCA8" s="24"/>
      <c r="JCB8" s="24"/>
      <c r="JCC8" s="24"/>
      <c r="JCD8" s="24"/>
      <c r="JCE8" s="24"/>
      <c r="JCF8" s="24"/>
      <c r="JCG8" s="24"/>
      <c r="JCH8" s="24"/>
      <c r="JCI8" s="24"/>
      <c r="JCJ8" s="24"/>
      <c r="JCK8" s="24"/>
      <c r="JCL8" s="24"/>
      <c r="JCM8" s="24"/>
      <c r="JCN8" s="24"/>
      <c r="JCO8" s="24"/>
      <c r="JCP8" s="24"/>
      <c r="JCQ8" s="24"/>
      <c r="JCR8" s="24"/>
      <c r="JCS8" s="24"/>
      <c r="JCT8" s="24"/>
      <c r="JCU8" s="24"/>
      <c r="JCV8" s="24"/>
      <c r="JCW8" s="24"/>
      <c r="JCX8" s="24"/>
      <c r="JCY8" s="24"/>
      <c r="JCZ8" s="24"/>
      <c r="JDA8" s="24"/>
      <c r="JDB8" s="24"/>
      <c r="JDC8" s="24"/>
      <c r="JDD8" s="24"/>
      <c r="JDE8" s="24"/>
      <c r="JDF8" s="24"/>
      <c r="JDG8" s="24"/>
      <c r="JDH8" s="24"/>
      <c r="JDI8" s="24"/>
      <c r="JDJ8" s="24"/>
      <c r="JDK8" s="24"/>
      <c r="JDL8" s="24"/>
      <c r="JDM8" s="24"/>
      <c r="JDN8" s="24"/>
      <c r="JDO8" s="24"/>
      <c r="JDP8" s="24"/>
      <c r="JDQ8" s="24"/>
      <c r="JDR8" s="24"/>
      <c r="JDS8" s="24"/>
      <c r="JDT8" s="24"/>
      <c r="JDU8" s="24"/>
      <c r="JDV8" s="24"/>
      <c r="JDW8" s="24"/>
      <c r="JDX8" s="24"/>
      <c r="JDY8" s="24"/>
      <c r="JDZ8" s="24"/>
      <c r="JEA8" s="24"/>
      <c r="JEB8" s="24"/>
      <c r="JEC8" s="24"/>
      <c r="JED8" s="24"/>
      <c r="JEE8" s="24"/>
      <c r="JEF8" s="24"/>
      <c r="JEG8" s="24"/>
      <c r="JEH8" s="24"/>
      <c r="JEI8" s="24"/>
      <c r="JEJ8" s="24"/>
      <c r="JEK8" s="24"/>
      <c r="JEL8" s="24"/>
      <c r="JEM8" s="24"/>
      <c r="JEN8" s="24"/>
      <c r="JEO8" s="24"/>
      <c r="JEP8" s="24"/>
      <c r="JEQ8" s="24"/>
      <c r="JER8" s="24"/>
      <c r="JES8" s="24"/>
      <c r="JET8" s="24"/>
      <c r="JEU8" s="24"/>
      <c r="JEV8" s="24"/>
      <c r="JEW8" s="24"/>
      <c r="JEX8" s="24"/>
      <c r="JEY8" s="24"/>
      <c r="JEZ8" s="24"/>
      <c r="JFA8" s="24"/>
      <c r="JFB8" s="24"/>
      <c r="JFC8" s="24"/>
      <c r="JFD8" s="24"/>
      <c r="JFE8" s="24"/>
      <c r="JFF8" s="24"/>
      <c r="JFG8" s="24"/>
      <c r="JFH8" s="24"/>
      <c r="JFI8" s="24"/>
      <c r="JFJ8" s="24"/>
      <c r="JFK8" s="24"/>
      <c r="JFL8" s="24"/>
      <c r="JFM8" s="24"/>
      <c r="JFN8" s="24"/>
      <c r="JFO8" s="24"/>
      <c r="JFP8" s="24"/>
      <c r="JFQ8" s="24"/>
      <c r="JFR8" s="24"/>
      <c r="JFS8" s="24"/>
      <c r="JFT8" s="24"/>
      <c r="JFU8" s="24"/>
      <c r="JFV8" s="24"/>
      <c r="JFW8" s="24"/>
      <c r="JFX8" s="24"/>
      <c r="JFY8" s="24"/>
      <c r="JFZ8" s="24"/>
      <c r="JGA8" s="24"/>
      <c r="JGB8" s="24"/>
      <c r="JGC8" s="24"/>
      <c r="JGD8" s="24"/>
      <c r="JGE8" s="24"/>
      <c r="JGF8" s="24"/>
      <c r="JGG8" s="24"/>
      <c r="JGH8" s="24"/>
      <c r="JGI8" s="24"/>
      <c r="JGJ8" s="24"/>
      <c r="JGK8" s="24"/>
      <c r="JGL8" s="24"/>
      <c r="JGM8" s="24"/>
      <c r="JGN8" s="24"/>
      <c r="JGO8" s="24"/>
      <c r="JGP8" s="24"/>
      <c r="JGQ8" s="24"/>
      <c r="JGR8" s="24"/>
      <c r="JGS8" s="24"/>
      <c r="JGT8" s="24"/>
      <c r="JGU8" s="24"/>
      <c r="JGV8" s="24"/>
      <c r="JGW8" s="24"/>
      <c r="JGX8" s="24"/>
      <c r="JGY8" s="24"/>
      <c r="JGZ8" s="24"/>
      <c r="JHA8" s="24"/>
      <c r="JHB8" s="24"/>
      <c r="JHC8" s="24"/>
      <c r="JHD8" s="24"/>
      <c r="JHE8" s="24"/>
      <c r="JHF8" s="24"/>
      <c r="JHG8" s="24"/>
      <c r="JHH8" s="24"/>
      <c r="JHI8" s="24"/>
      <c r="JHJ8" s="24"/>
      <c r="JHK8" s="24"/>
      <c r="JHL8" s="24"/>
      <c r="JHM8" s="24"/>
      <c r="JHN8" s="24"/>
      <c r="JHO8" s="24"/>
      <c r="JHP8" s="24"/>
      <c r="JHQ8" s="24"/>
      <c r="JHR8" s="24"/>
      <c r="JHS8" s="24"/>
      <c r="JHT8" s="24"/>
      <c r="JHU8" s="24"/>
      <c r="JHV8" s="24"/>
      <c r="JHW8" s="24"/>
      <c r="JHX8" s="24"/>
      <c r="JHY8" s="24"/>
      <c r="JHZ8" s="24"/>
      <c r="JIA8" s="24"/>
      <c r="JIB8" s="24"/>
      <c r="JIC8" s="24"/>
      <c r="JID8" s="24"/>
      <c r="JIE8" s="24"/>
      <c r="JIF8" s="24"/>
      <c r="JIG8" s="24"/>
      <c r="JIH8" s="24"/>
      <c r="JII8" s="24"/>
      <c r="JIJ8" s="24"/>
      <c r="JIK8" s="24"/>
      <c r="JIL8" s="24"/>
      <c r="JIM8" s="24"/>
      <c r="JIN8" s="24"/>
      <c r="JIO8" s="24"/>
      <c r="JIP8" s="24"/>
      <c r="JIQ8" s="24"/>
      <c r="JIR8" s="24"/>
      <c r="JIS8" s="24"/>
      <c r="JIT8" s="24"/>
      <c r="JIU8" s="24"/>
      <c r="JIV8" s="24"/>
      <c r="JIW8" s="24"/>
      <c r="JIX8" s="24"/>
      <c r="JIY8" s="24"/>
      <c r="JIZ8" s="24"/>
      <c r="JJA8" s="24"/>
      <c r="JJB8" s="24"/>
      <c r="JJC8" s="24"/>
      <c r="JJD8" s="24"/>
      <c r="JJE8" s="24"/>
      <c r="JJF8" s="24"/>
      <c r="JJG8" s="24"/>
      <c r="JJH8" s="24"/>
      <c r="JJI8" s="24"/>
      <c r="JJJ8" s="24"/>
      <c r="JJK8" s="24"/>
      <c r="JJL8" s="24"/>
      <c r="JJM8" s="24"/>
      <c r="JJN8" s="24"/>
      <c r="JJO8" s="24"/>
      <c r="JJP8" s="24"/>
      <c r="JJQ8" s="24"/>
      <c r="JJR8" s="24"/>
      <c r="JJS8" s="24"/>
      <c r="JJT8" s="24"/>
      <c r="JJU8" s="24"/>
      <c r="JJV8" s="24"/>
      <c r="JJW8" s="24"/>
      <c r="JJX8" s="24"/>
      <c r="JJY8" s="24"/>
      <c r="JJZ8" s="24"/>
      <c r="JKA8" s="24"/>
      <c r="JKB8" s="24"/>
      <c r="JKC8" s="24"/>
      <c r="JKD8" s="24"/>
      <c r="JKE8" s="24"/>
      <c r="JKF8" s="24"/>
      <c r="JKG8" s="24"/>
      <c r="JKH8" s="24"/>
      <c r="JKI8" s="24"/>
      <c r="JKJ8" s="24"/>
      <c r="JKK8" s="24"/>
      <c r="JKL8" s="24"/>
      <c r="JKM8" s="24"/>
      <c r="JKN8" s="24"/>
      <c r="JKO8" s="24"/>
      <c r="JKP8" s="24"/>
      <c r="JKQ8" s="24"/>
      <c r="JKR8" s="24"/>
      <c r="JKS8" s="24"/>
      <c r="JKT8" s="24"/>
      <c r="JKU8" s="24"/>
      <c r="JKV8" s="24"/>
      <c r="JKW8" s="24"/>
      <c r="JKX8" s="24"/>
      <c r="JKY8" s="24"/>
      <c r="JKZ8" s="24"/>
      <c r="JLA8" s="24"/>
      <c r="JLB8" s="24"/>
      <c r="JLC8" s="24"/>
      <c r="JLD8" s="24"/>
      <c r="JLE8" s="24"/>
      <c r="JLF8" s="24"/>
      <c r="JLG8" s="24"/>
      <c r="JLH8" s="24"/>
      <c r="JLI8" s="24"/>
      <c r="JLJ8" s="24"/>
      <c r="JLK8" s="24"/>
      <c r="JLL8" s="24"/>
      <c r="JLM8" s="24"/>
      <c r="JLN8" s="24"/>
      <c r="JLO8" s="24"/>
      <c r="JLP8" s="24"/>
      <c r="JLQ8" s="24"/>
      <c r="JLR8" s="24"/>
      <c r="JLS8" s="24"/>
      <c r="JLT8" s="24"/>
      <c r="JLU8" s="24"/>
      <c r="JLV8" s="24"/>
      <c r="JLW8" s="24"/>
      <c r="JLX8" s="24"/>
      <c r="JLY8" s="24"/>
      <c r="JLZ8" s="24"/>
      <c r="JMA8" s="24"/>
      <c r="JMB8" s="24"/>
      <c r="JMC8" s="24"/>
      <c r="JMD8" s="24"/>
      <c r="JME8" s="24"/>
      <c r="JMF8" s="24"/>
      <c r="JMG8" s="24"/>
      <c r="JMH8" s="24"/>
      <c r="JMI8" s="24"/>
      <c r="JMJ8" s="24"/>
      <c r="JMK8" s="24"/>
      <c r="JML8" s="24"/>
      <c r="JMM8" s="24"/>
      <c r="JMN8" s="24"/>
      <c r="JMO8" s="24"/>
      <c r="JMP8" s="24"/>
      <c r="JMQ8" s="24"/>
      <c r="JMR8" s="24"/>
      <c r="JMS8" s="24"/>
      <c r="JMT8" s="24"/>
      <c r="JMU8" s="24"/>
      <c r="JMV8" s="24"/>
      <c r="JMW8" s="24"/>
      <c r="JMX8" s="24"/>
      <c r="JMY8" s="24"/>
      <c r="JMZ8" s="24"/>
      <c r="JNA8" s="24"/>
      <c r="JNB8" s="24"/>
      <c r="JNC8" s="24"/>
      <c r="JND8" s="24"/>
      <c r="JNE8" s="24"/>
      <c r="JNF8" s="24"/>
      <c r="JNG8" s="24"/>
      <c r="JNH8" s="24"/>
      <c r="JNI8" s="24"/>
      <c r="JNJ8" s="24"/>
      <c r="JNK8" s="24"/>
      <c r="JNL8" s="24"/>
      <c r="JNM8" s="24"/>
      <c r="JNN8" s="24"/>
      <c r="JNO8" s="24"/>
      <c r="JNP8" s="24"/>
      <c r="JNQ8" s="24"/>
      <c r="JNR8" s="24"/>
      <c r="JNS8" s="24"/>
      <c r="JNT8" s="24"/>
      <c r="JNU8" s="24"/>
      <c r="JNV8" s="24"/>
      <c r="JNW8" s="24"/>
      <c r="JNX8" s="24"/>
      <c r="JNY8" s="24"/>
      <c r="JNZ8" s="24"/>
      <c r="JOA8" s="24"/>
      <c r="JOB8" s="24"/>
      <c r="JOC8" s="24"/>
      <c r="JOD8" s="24"/>
      <c r="JOE8" s="24"/>
      <c r="JOF8" s="24"/>
      <c r="JOG8" s="24"/>
      <c r="JOH8" s="24"/>
      <c r="JOI8" s="24"/>
      <c r="JOJ8" s="24"/>
      <c r="JOK8" s="24"/>
      <c r="JOL8" s="24"/>
      <c r="JOM8" s="24"/>
      <c r="JON8" s="24"/>
      <c r="JOO8" s="24"/>
      <c r="JOP8" s="24"/>
      <c r="JOQ8" s="24"/>
      <c r="JOR8" s="24"/>
      <c r="JOS8" s="24"/>
      <c r="JOT8" s="24"/>
      <c r="JOU8" s="24"/>
      <c r="JOV8" s="24"/>
      <c r="JOW8" s="24"/>
      <c r="JOX8" s="24"/>
      <c r="JOY8" s="24"/>
      <c r="JOZ8" s="24"/>
      <c r="JPA8" s="24"/>
      <c r="JPB8" s="24"/>
      <c r="JPC8" s="24"/>
      <c r="JPD8" s="24"/>
      <c r="JPE8" s="24"/>
      <c r="JPF8" s="24"/>
      <c r="JPG8" s="24"/>
      <c r="JPH8" s="24"/>
      <c r="JPI8" s="24"/>
      <c r="JPJ8" s="24"/>
      <c r="JPK8" s="24"/>
      <c r="JPL8" s="24"/>
      <c r="JPM8" s="24"/>
      <c r="JPN8" s="24"/>
      <c r="JPO8" s="24"/>
      <c r="JPP8" s="24"/>
      <c r="JPQ8" s="24"/>
      <c r="JPR8" s="24"/>
      <c r="JPS8" s="24"/>
      <c r="JPT8" s="24"/>
      <c r="JPU8" s="24"/>
      <c r="JPV8" s="24"/>
      <c r="JPW8" s="24"/>
      <c r="JPX8" s="24"/>
      <c r="JPY8" s="24"/>
      <c r="JPZ8" s="24"/>
      <c r="JQA8" s="24"/>
      <c r="JQB8" s="24"/>
      <c r="JQC8" s="24"/>
      <c r="JQD8" s="24"/>
      <c r="JQE8" s="24"/>
      <c r="JQF8" s="24"/>
      <c r="JQG8" s="24"/>
      <c r="JQH8" s="24"/>
      <c r="JQI8" s="24"/>
      <c r="JQJ8" s="24"/>
      <c r="JQK8" s="24"/>
      <c r="JQL8" s="24"/>
      <c r="JQM8" s="24"/>
      <c r="JQN8" s="24"/>
      <c r="JQO8" s="24"/>
      <c r="JQP8" s="24"/>
      <c r="JQQ8" s="24"/>
      <c r="JQR8" s="24"/>
      <c r="JQS8" s="24"/>
      <c r="JQT8" s="24"/>
      <c r="JQU8" s="24"/>
      <c r="JQV8" s="24"/>
      <c r="JQW8" s="24"/>
      <c r="JQX8" s="24"/>
      <c r="JQY8" s="24"/>
      <c r="JQZ8" s="24"/>
      <c r="JRA8" s="24"/>
      <c r="JRB8" s="24"/>
      <c r="JRC8" s="24"/>
      <c r="JRD8" s="24"/>
      <c r="JRE8" s="24"/>
      <c r="JRF8" s="24"/>
      <c r="JRG8" s="24"/>
      <c r="JRH8" s="24"/>
      <c r="JRI8" s="24"/>
      <c r="JRJ8" s="24"/>
      <c r="JRK8" s="24"/>
      <c r="JRL8" s="24"/>
      <c r="JRM8" s="24"/>
      <c r="JRN8" s="24"/>
      <c r="JRO8" s="24"/>
      <c r="JRP8" s="24"/>
      <c r="JRQ8" s="24"/>
      <c r="JRR8" s="24"/>
      <c r="JRS8" s="24"/>
      <c r="JRT8" s="24"/>
      <c r="JRU8" s="24"/>
      <c r="JRV8" s="24"/>
      <c r="JRW8" s="24"/>
      <c r="JRX8" s="24"/>
      <c r="JRY8" s="24"/>
      <c r="JRZ8" s="24"/>
      <c r="JSA8" s="24"/>
      <c r="JSB8" s="24"/>
      <c r="JSC8" s="24"/>
      <c r="JSD8" s="24"/>
      <c r="JSE8" s="24"/>
      <c r="JSF8" s="24"/>
      <c r="JSG8" s="24"/>
      <c r="JSH8" s="24"/>
      <c r="JSI8" s="24"/>
      <c r="JSJ8" s="24"/>
      <c r="JSK8" s="24"/>
      <c r="JSL8" s="24"/>
      <c r="JSM8" s="24"/>
      <c r="JSN8" s="24"/>
      <c r="JSO8" s="24"/>
      <c r="JSP8" s="24"/>
      <c r="JSQ8" s="24"/>
      <c r="JSR8" s="24"/>
      <c r="JSS8" s="24"/>
      <c r="JST8" s="24"/>
      <c r="JSU8" s="24"/>
      <c r="JSV8" s="24"/>
      <c r="JSW8" s="24"/>
      <c r="JSX8" s="24"/>
      <c r="JSY8" s="24"/>
      <c r="JSZ8" s="24"/>
      <c r="JTA8" s="24"/>
      <c r="JTB8" s="24"/>
      <c r="JTC8" s="24"/>
      <c r="JTD8" s="24"/>
      <c r="JTE8" s="24"/>
      <c r="JTF8" s="24"/>
      <c r="JTG8" s="24"/>
      <c r="JTH8" s="24"/>
      <c r="JTI8" s="24"/>
      <c r="JTJ8" s="24"/>
      <c r="JTK8" s="24"/>
      <c r="JTL8" s="24"/>
      <c r="JTM8" s="24"/>
      <c r="JTN8" s="24"/>
      <c r="JTO8" s="24"/>
      <c r="JTP8" s="24"/>
      <c r="JTQ8" s="24"/>
      <c r="JTR8" s="24"/>
      <c r="JTS8" s="24"/>
      <c r="JTT8" s="24"/>
      <c r="JTU8" s="24"/>
      <c r="JTV8" s="24"/>
      <c r="JTW8" s="24"/>
      <c r="JTX8" s="24"/>
      <c r="JTY8" s="24"/>
      <c r="JTZ8" s="24"/>
      <c r="JUA8" s="24"/>
      <c r="JUB8" s="24"/>
      <c r="JUC8" s="24"/>
      <c r="JUD8" s="24"/>
      <c r="JUE8" s="24"/>
      <c r="JUF8" s="24"/>
      <c r="JUG8" s="24"/>
      <c r="JUH8" s="24"/>
      <c r="JUI8" s="24"/>
      <c r="JUJ8" s="24"/>
      <c r="JUK8" s="24"/>
      <c r="JUL8" s="24"/>
      <c r="JUM8" s="24"/>
      <c r="JUN8" s="24"/>
      <c r="JUO8" s="24"/>
      <c r="JUP8" s="24"/>
      <c r="JUQ8" s="24"/>
      <c r="JUR8" s="24"/>
      <c r="JUS8" s="24"/>
      <c r="JUT8" s="24"/>
      <c r="JUU8" s="24"/>
      <c r="JUV8" s="24"/>
      <c r="JUW8" s="24"/>
      <c r="JUX8" s="24"/>
      <c r="JUY8" s="24"/>
      <c r="JUZ8" s="24"/>
      <c r="JVA8" s="24"/>
      <c r="JVB8" s="24"/>
      <c r="JVC8" s="24"/>
      <c r="JVD8" s="24"/>
      <c r="JVE8" s="24"/>
      <c r="JVF8" s="24"/>
      <c r="JVG8" s="24"/>
      <c r="JVH8" s="24"/>
      <c r="JVI8" s="24"/>
      <c r="JVJ8" s="24"/>
      <c r="JVK8" s="24"/>
      <c r="JVL8" s="24"/>
      <c r="JVM8" s="24"/>
      <c r="JVN8" s="24"/>
      <c r="JVO8" s="24"/>
      <c r="JVP8" s="24"/>
      <c r="JVQ8" s="24"/>
      <c r="JVR8" s="24"/>
      <c r="JVS8" s="24"/>
      <c r="JVT8" s="24"/>
      <c r="JVU8" s="24"/>
      <c r="JVV8" s="24"/>
      <c r="JVW8" s="24"/>
      <c r="JVX8" s="24"/>
      <c r="JVY8" s="24"/>
      <c r="JVZ8" s="24"/>
      <c r="JWA8" s="24"/>
      <c r="JWB8" s="24"/>
      <c r="JWC8" s="24"/>
      <c r="JWD8" s="24"/>
      <c r="JWE8" s="24"/>
      <c r="JWF8" s="24"/>
      <c r="JWG8" s="24"/>
      <c r="JWH8" s="24"/>
      <c r="JWI8" s="24"/>
      <c r="JWJ8" s="24"/>
      <c r="JWK8" s="24"/>
      <c r="JWL8" s="24"/>
      <c r="JWM8" s="24"/>
      <c r="JWN8" s="24"/>
      <c r="JWO8" s="24"/>
      <c r="JWP8" s="24"/>
      <c r="JWQ8" s="24"/>
      <c r="JWR8" s="24"/>
      <c r="JWS8" s="24"/>
      <c r="JWT8" s="24"/>
      <c r="JWU8" s="24"/>
      <c r="JWV8" s="24"/>
      <c r="JWW8" s="24"/>
      <c r="JWX8" s="24"/>
      <c r="JWY8" s="24"/>
      <c r="JWZ8" s="24"/>
      <c r="JXA8" s="24"/>
      <c r="JXB8" s="24"/>
      <c r="JXC8" s="24"/>
      <c r="JXD8" s="24"/>
      <c r="JXE8" s="24"/>
      <c r="JXF8" s="24"/>
      <c r="JXG8" s="24"/>
      <c r="JXH8" s="24"/>
      <c r="JXI8" s="24"/>
      <c r="JXJ8" s="24"/>
      <c r="JXK8" s="24"/>
      <c r="JXL8" s="24"/>
      <c r="JXM8" s="24"/>
      <c r="JXN8" s="24"/>
      <c r="JXO8" s="24"/>
      <c r="JXP8" s="24"/>
      <c r="JXQ8" s="24"/>
      <c r="JXR8" s="24"/>
      <c r="JXS8" s="24"/>
      <c r="JXT8" s="24"/>
      <c r="JXU8" s="24"/>
      <c r="JXV8" s="24"/>
      <c r="JXW8" s="24"/>
      <c r="JXX8" s="24"/>
      <c r="JXY8" s="24"/>
      <c r="JXZ8" s="24"/>
      <c r="JYA8" s="24"/>
      <c r="JYB8" s="24"/>
      <c r="JYC8" s="24"/>
      <c r="JYD8" s="24"/>
      <c r="JYE8" s="24"/>
      <c r="JYF8" s="24"/>
      <c r="JYG8" s="24"/>
      <c r="JYH8" s="24"/>
      <c r="JYI8" s="24"/>
      <c r="JYJ8" s="24"/>
      <c r="JYK8" s="24"/>
      <c r="JYL8" s="24"/>
      <c r="JYM8" s="24"/>
      <c r="JYN8" s="24"/>
      <c r="JYO8" s="24"/>
      <c r="JYP8" s="24"/>
      <c r="JYQ8" s="24"/>
      <c r="JYR8" s="24"/>
      <c r="JYS8" s="24"/>
      <c r="JYT8" s="24"/>
      <c r="JYU8" s="24"/>
      <c r="JYV8" s="24"/>
      <c r="JYW8" s="24"/>
      <c r="JYX8" s="24"/>
      <c r="JYY8" s="24"/>
      <c r="JYZ8" s="24"/>
      <c r="JZA8" s="24"/>
      <c r="JZB8" s="24"/>
      <c r="JZC8" s="24"/>
      <c r="JZD8" s="24"/>
      <c r="JZE8" s="24"/>
      <c r="JZF8" s="24"/>
      <c r="JZG8" s="24"/>
      <c r="JZH8" s="24"/>
      <c r="JZI8" s="24"/>
      <c r="JZJ8" s="24"/>
      <c r="JZK8" s="24"/>
      <c r="JZL8" s="24"/>
      <c r="JZM8" s="24"/>
      <c r="JZN8" s="24"/>
      <c r="JZO8" s="24"/>
      <c r="JZP8" s="24"/>
      <c r="JZQ8" s="24"/>
      <c r="JZR8" s="24"/>
      <c r="JZS8" s="24"/>
      <c r="JZT8" s="24"/>
      <c r="JZU8" s="24"/>
      <c r="JZV8" s="24"/>
      <c r="JZW8" s="24"/>
      <c r="JZX8" s="24"/>
      <c r="JZY8" s="24"/>
      <c r="JZZ8" s="24"/>
      <c r="KAA8" s="24"/>
      <c r="KAB8" s="24"/>
      <c r="KAC8" s="24"/>
      <c r="KAD8" s="24"/>
      <c r="KAE8" s="24"/>
      <c r="KAF8" s="24"/>
      <c r="KAG8" s="24"/>
      <c r="KAH8" s="24"/>
      <c r="KAI8" s="24"/>
      <c r="KAJ8" s="24"/>
      <c r="KAK8" s="24"/>
      <c r="KAL8" s="24"/>
      <c r="KAM8" s="24"/>
      <c r="KAN8" s="24"/>
      <c r="KAO8" s="24"/>
      <c r="KAP8" s="24"/>
      <c r="KAQ8" s="24"/>
      <c r="KAR8" s="24"/>
      <c r="KAS8" s="24"/>
      <c r="KAT8" s="24"/>
      <c r="KAU8" s="24"/>
      <c r="KAV8" s="24"/>
      <c r="KAW8" s="24"/>
      <c r="KAX8" s="24"/>
      <c r="KAY8" s="24"/>
      <c r="KAZ8" s="24"/>
      <c r="KBA8" s="24"/>
      <c r="KBB8" s="24"/>
      <c r="KBC8" s="24"/>
      <c r="KBD8" s="24"/>
      <c r="KBE8" s="24"/>
      <c r="KBF8" s="24"/>
      <c r="KBG8" s="24"/>
      <c r="KBH8" s="24"/>
      <c r="KBI8" s="24"/>
      <c r="KBJ8" s="24"/>
      <c r="KBK8" s="24"/>
      <c r="KBL8" s="24"/>
      <c r="KBM8" s="24"/>
      <c r="KBN8" s="24"/>
      <c r="KBO8" s="24"/>
      <c r="KBP8" s="24"/>
      <c r="KBQ8" s="24"/>
      <c r="KBR8" s="24"/>
      <c r="KBS8" s="24"/>
      <c r="KBT8" s="24"/>
      <c r="KBU8" s="24"/>
      <c r="KBV8" s="24"/>
      <c r="KBW8" s="24"/>
      <c r="KBX8" s="24"/>
      <c r="KBY8" s="24"/>
      <c r="KBZ8" s="24"/>
      <c r="KCA8" s="24"/>
      <c r="KCB8" s="24"/>
      <c r="KCC8" s="24"/>
      <c r="KCD8" s="24"/>
      <c r="KCE8" s="24"/>
      <c r="KCF8" s="24"/>
      <c r="KCG8" s="24"/>
      <c r="KCH8" s="24"/>
      <c r="KCI8" s="24"/>
      <c r="KCJ8" s="24"/>
      <c r="KCK8" s="24"/>
      <c r="KCL8" s="24"/>
      <c r="KCM8" s="24"/>
      <c r="KCN8" s="24"/>
      <c r="KCO8" s="24"/>
      <c r="KCP8" s="24"/>
      <c r="KCQ8" s="24"/>
      <c r="KCR8" s="24"/>
      <c r="KCS8" s="24"/>
      <c r="KCT8" s="24"/>
      <c r="KCU8" s="24"/>
      <c r="KCV8" s="24"/>
      <c r="KCW8" s="24"/>
      <c r="KCX8" s="24"/>
      <c r="KCY8" s="24"/>
      <c r="KCZ8" s="24"/>
      <c r="KDA8" s="24"/>
      <c r="KDB8" s="24"/>
      <c r="KDC8" s="24"/>
      <c r="KDD8" s="24"/>
      <c r="KDE8" s="24"/>
      <c r="KDF8" s="24"/>
      <c r="KDG8" s="24"/>
      <c r="KDH8" s="24"/>
      <c r="KDI8" s="24"/>
      <c r="KDJ8" s="24"/>
      <c r="KDK8" s="24"/>
      <c r="KDL8" s="24"/>
      <c r="KDM8" s="24"/>
      <c r="KDN8" s="24"/>
      <c r="KDO8" s="24"/>
      <c r="KDP8" s="24"/>
      <c r="KDQ8" s="24"/>
      <c r="KDR8" s="24"/>
      <c r="KDS8" s="24"/>
      <c r="KDT8" s="24"/>
      <c r="KDU8" s="24"/>
      <c r="KDV8" s="24"/>
      <c r="KDW8" s="24"/>
      <c r="KDX8" s="24"/>
      <c r="KDY8" s="24"/>
      <c r="KDZ8" s="24"/>
      <c r="KEA8" s="24"/>
      <c r="KEB8" s="24"/>
      <c r="KEC8" s="24"/>
      <c r="KED8" s="24"/>
      <c r="KEE8" s="24"/>
      <c r="KEF8" s="24"/>
      <c r="KEG8" s="24"/>
      <c r="KEH8" s="24"/>
      <c r="KEI8" s="24"/>
      <c r="KEJ8" s="24"/>
      <c r="KEK8" s="24"/>
      <c r="KEL8" s="24"/>
      <c r="KEM8" s="24"/>
      <c r="KEN8" s="24"/>
      <c r="KEO8" s="24"/>
      <c r="KEP8" s="24"/>
      <c r="KEQ8" s="24"/>
      <c r="KER8" s="24"/>
      <c r="KES8" s="24"/>
      <c r="KET8" s="24"/>
      <c r="KEU8" s="24"/>
      <c r="KEV8" s="24"/>
      <c r="KEW8" s="24"/>
      <c r="KEX8" s="24"/>
      <c r="KEY8" s="24"/>
      <c r="KEZ8" s="24"/>
      <c r="KFA8" s="24"/>
      <c r="KFB8" s="24"/>
      <c r="KFC8" s="24"/>
      <c r="KFD8" s="24"/>
      <c r="KFE8" s="24"/>
      <c r="KFF8" s="24"/>
      <c r="KFG8" s="24"/>
      <c r="KFH8" s="24"/>
      <c r="KFI8" s="24"/>
      <c r="KFJ8" s="24"/>
      <c r="KFK8" s="24"/>
      <c r="KFL8" s="24"/>
      <c r="KFM8" s="24"/>
      <c r="KFN8" s="24"/>
      <c r="KFO8" s="24"/>
      <c r="KFP8" s="24"/>
      <c r="KFQ8" s="24"/>
      <c r="KFR8" s="24"/>
      <c r="KFS8" s="24"/>
      <c r="KFT8" s="24"/>
      <c r="KFU8" s="24"/>
      <c r="KFV8" s="24"/>
      <c r="KFW8" s="24"/>
      <c r="KFX8" s="24"/>
      <c r="KFY8" s="24"/>
      <c r="KFZ8" s="24"/>
      <c r="KGA8" s="24"/>
      <c r="KGB8" s="24"/>
      <c r="KGC8" s="24"/>
      <c r="KGD8" s="24"/>
      <c r="KGE8" s="24"/>
      <c r="KGF8" s="24"/>
      <c r="KGG8" s="24"/>
      <c r="KGH8" s="24"/>
      <c r="KGI8" s="24"/>
      <c r="KGJ8" s="24"/>
      <c r="KGK8" s="24"/>
      <c r="KGL8" s="24"/>
      <c r="KGM8" s="24"/>
      <c r="KGN8" s="24"/>
      <c r="KGO8" s="24"/>
      <c r="KGP8" s="24"/>
      <c r="KGQ8" s="24"/>
      <c r="KGR8" s="24"/>
      <c r="KGS8" s="24"/>
      <c r="KGT8" s="24"/>
      <c r="KGU8" s="24"/>
      <c r="KGV8" s="24"/>
      <c r="KGW8" s="24"/>
      <c r="KGX8" s="24"/>
      <c r="KGY8" s="24"/>
      <c r="KGZ8" s="24"/>
      <c r="KHA8" s="24"/>
      <c r="KHB8" s="24"/>
      <c r="KHC8" s="24"/>
      <c r="KHD8" s="24"/>
      <c r="KHE8" s="24"/>
      <c r="KHF8" s="24"/>
      <c r="KHG8" s="24"/>
      <c r="KHH8" s="24"/>
      <c r="KHI8" s="24"/>
      <c r="KHJ8" s="24"/>
      <c r="KHK8" s="24"/>
      <c r="KHL8" s="24"/>
      <c r="KHM8" s="24"/>
      <c r="KHN8" s="24"/>
      <c r="KHO8" s="24"/>
      <c r="KHP8" s="24"/>
      <c r="KHQ8" s="24"/>
      <c r="KHR8" s="24"/>
      <c r="KHS8" s="24"/>
      <c r="KHT8" s="24"/>
      <c r="KHU8" s="24"/>
      <c r="KHV8" s="24"/>
      <c r="KHW8" s="24"/>
      <c r="KHX8" s="24"/>
      <c r="KHY8" s="24"/>
      <c r="KHZ8" s="24"/>
      <c r="KIA8" s="24"/>
      <c r="KIB8" s="24"/>
      <c r="KIC8" s="24"/>
      <c r="KID8" s="24"/>
      <c r="KIE8" s="24"/>
      <c r="KIF8" s="24"/>
      <c r="KIG8" s="24"/>
      <c r="KIH8" s="24"/>
      <c r="KII8" s="24"/>
      <c r="KIJ8" s="24"/>
      <c r="KIK8" s="24"/>
      <c r="KIL8" s="24"/>
      <c r="KIM8" s="24"/>
      <c r="KIN8" s="24"/>
      <c r="KIO8" s="24"/>
      <c r="KIP8" s="24"/>
      <c r="KIQ8" s="24"/>
      <c r="KIR8" s="24"/>
      <c r="KIS8" s="24"/>
      <c r="KIT8" s="24"/>
      <c r="KIU8" s="24"/>
      <c r="KIV8" s="24"/>
      <c r="KIW8" s="24"/>
      <c r="KIX8" s="24"/>
      <c r="KIY8" s="24"/>
      <c r="KIZ8" s="24"/>
      <c r="KJA8" s="24"/>
      <c r="KJB8" s="24"/>
      <c r="KJC8" s="24"/>
      <c r="KJD8" s="24"/>
      <c r="KJE8" s="24"/>
      <c r="KJF8" s="24"/>
      <c r="KJG8" s="24"/>
      <c r="KJH8" s="24"/>
      <c r="KJI8" s="24"/>
      <c r="KJJ8" s="24"/>
      <c r="KJK8" s="24"/>
      <c r="KJL8" s="24"/>
      <c r="KJM8" s="24"/>
      <c r="KJN8" s="24"/>
      <c r="KJO8" s="24"/>
      <c r="KJP8" s="24"/>
      <c r="KJQ8" s="24"/>
      <c r="KJR8" s="24"/>
      <c r="KJS8" s="24"/>
      <c r="KJT8" s="24"/>
      <c r="KJU8" s="24"/>
      <c r="KJV8" s="24"/>
      <c r="KJW8" s="24"/>
      <c r="KJX8" s="24"/>
      <c r="KJY8" s="24"/>
      <c r="KJZ8" s="24"/>
      <c r="KKA8" s="24"/>
      <c r="KKB8" s="24"/>
      <c r="KKC8" s="24"/>
      <c r="KKD8" s="24"/>
      <c r="KKE8" s="24"/>
      <c r="KKF8" s="24"/>
      <c r="KKG8" s="24"/>
      <c r="KKH8" s="24"/>
      <c r="KKI8" s="24"/>
      <c r="KKJ8" s="24"/>
      <c r="KKK8" s="24"/>
      <c r="KKL8" s="24"/>
      <c r="KKM8" s="24"/>
      <c r="KKN8" s="24"/>
      <c r="KKO8" s="24"/>
      <c r="KKP8" s="24"/>
      <c r="KKQ8" s="24"/>
      <c r="KKR8" s="24"/>
      <c r="KKS8" s="24"/>
      <c r="KKT8" s="24"/>
      <c r="KKU8" s="24"/>
      <c r="KKV8" s="24"/>
      <c r="KKW8" s="24"/>
      <c r="KKX8" s="24"/>
      <c r="KKY8" s="24"/>
      <c r="KKZ8" s="24"/>
      <c r="KLA8" s="24"/>
      <c r="KLB8" s="24"/>
      <c r="KLC8" s="24"/>
      <c r="KLD8" s="24"/>
      <c r="KLE8" s="24"/>
      <c r="KLF8" s="24"/>
      <c r="KLG8" s="24"/>
      <c r="KLH8" s="24"/>
      <c r="KLI8" s="24"/>
      <c r="KLJ8" s="24"/>
      <c r="KLK8" s="24"/>
      <c r="KLL8" s="24"/>
      <c r="KLM8" s="24"/>
      <c r="KLN8" s="24"/>
      <c r="KLO8" s="24"/>
      <c r="KLP8" s="24"/>
      <c r="KLQ8" s="24"/>
      <c r="KLR8" s="24"/>
      <c r="KLS8" s="24"/>
      <c r="KLT8" s="24"/>
      <c r="KLU8" s="24"/>
      <c r="KLV8" s="24"/>
      <c r="KLW8" s="24"/>
      <c r="KLX8" s="24"/>
      <c r="KLY8" s="24"/>
      <c r="KLZ8" s="24"/>
      <c r="KMA8" s="24"/>
      <c r="KMB8" s="24"/>
      <c r="KMC8" s="24"/>
      <c r="KMD8" s="24"/>
      <c r="KME8" s="24"/>
      <c r="KMF8" s="24"/>
      <c r="KMG8" s="24"/>
      <c r="KMH8" s="24"/>
      <c r="KMI8" s="24"/>
      <c r="KMJ8" s="24"/>
      <c r="KMK8" s="24"/>
      <c r="KML8" s="24"/>
      <c r="KMM8" s="24"/>
      <c r="KMN8" s="24"/>
      <c r="KMO8" s="24"/>
      <c r="KMP8" s="24"/>
      <c r="KMQ8" s="24"/>
      <c r="KMR8" s="24"/>
      <c r="KMS8" s="24"/>
      <c r="KMT8" s="24"/>
      <c r="KMU8" s="24"/>
      <c r="KMV8" s="24"/>
      <c r="KMW8" s="24"/>
      <c r="KMX8" s="24"/>
      <c r="KMY8" s="24"/>
      <c r="KMZ8" s="24"/>
      <c r="KNA8" s="24"/>
      <c r="KNB8" s="24"/>
      <c r="KNC8" s="24"/>
      <c r="KND8" s="24"/>
      <c r="KNE8" s="24"/>
      <c r="KNF8" s="24"/>
      <c r="KNG8" s="24"/>
      <c r="KNH8" s="24"/>
      <c r="KNI8" s="24"/>
      <c r="KNJ8" s="24"/>
      <c r="KNK8" s="24"/>
      <c r="KNL8" s="24"/>
      <c r="KNM8" s="24"/>
      <c r="KNN8" s="24"/>
      <c r="KNO8" s="24"/>
      <c r="KNP8" s="24"/>
      <c r="KNQ8" s="24"/>
      <c r="KNR8" s="24"/>
      <c r="KNS8" s="24"/>
      <c r="KNT8" s="24"/>
      <c r="KNU8" s="24"/>
      <c r="KNV8" s="24"/>
      <c r="KNW8" s="24"/>
      <c r="KNX8" s="24"/>
      <c r="KNY8" s="24"/>
      <c r="KNZ8" s="24"/>
      <c r="KOA8" s="24"/>
      <c r="KOB8" s="24"/>
      <c r="KOC8" s="24"/>
      <c r="KOD8" s="24"/>
      <c r="KOE8" s="24"/>
      <c r="KOF8" s="24"/>
      <c r="KOG8" s="24"/>
      <c r="KOH8" s="24"/>
      <c r="KOI8" s="24"/>
      <c r="KOJ8" s="24"/>
      <c r="KOK8" s="24"/>
      <c r="KOL8" s="24"/>
      <c r="KOM8" s="24"/>
      <c r="KON8" s="24"/>
      <c r="KOO8" s="24"/>
      <c r="KOP8" s="24"/>
      <c r="KOQ8" s="24"/>
      <c r="KOR8" s="24"/>
      <c r="KOS8" s="24"/>
      <c r="KOT8" s="24"/>
      <c r="KOU8" s="24"/>
      <c r="KOV8" s="24"/>
      <c r="KOW8" s="24"/>
      <c r="KOX8" s="24"/>
      <c r="KOY8" s="24"/>
      <c r="KOZ8" s="24"/>
      <c r="KPA8" s="24"/>
      <c r="KPB8" s="24"/>
      <c r="KPC8" s="24"/>
      <c r="KPD8" s="24"/>
      <c r="KPE8" s="24"/>
      <c r="KPF8" s="24"/>
      <c r="KPG8" s="24"/>
      <c r="KPH8" s="24"/>
      <c r="KPI8" s="24"/>
      <c r="KPJ8" s="24"/>
      <c r="KPK8" s="24"/>
      <c r="KPL8" s="24"/>
      <c r="KPM8" s="24"/>
      <c r="KPN8" s="24"/>
      <c r="KPO8" s="24"/>
      <c r="KPP8" s="24"/>
      <c r="KPQ8" s="24"/>
      <c r="KPR8" s="24"/>
      <c r="KPS8" s="24"/>
      <c r="KPT8" s="24"/>
      <c r="KPU8" s="24"/>
      <c r="KPV8" s="24"/>
      <c r="KPW8" s="24"/>
      <c r="KPX8" s="24"/>
      <c r="KPY8" s="24"/>
      <c r="KPZ8" s="24"/>
      <c r="KQA8" s="24"/>
      <c r="KQB8" s="24"/>
      <c r="KQC8" s="24"/>
      <c r="KQD8" s="24"/>
      <c r="KQE8" s="24"/>
      <c r="KQF8" s="24"/>
      <c r="KQG8" s="24"/>
      <c r="KQH8" s="24"/>
      <c r="KQI8" s="24"/>
      <c r="KQJ8" s="24"/>
      <c r="KQK8" s="24"/>
      <c r="KQL8" s="24"/>
      <c r="KQM8" s="24"/>
      <c r="KQN8" s="24"/>
      <c r="KQO8" s="24"/>
      <c r="KQP8" s="24"/>
      <c r="KQQ8" s="24"/>
      <c r="KQR8" s="24"/>
      <c r="KQS8" s="24"/>
      <c r="KQT8" s="24"/>
      <c r="KQU8" s="24"/>
      <c r="KQV8" s="24"/>
      <c r="KQW8" s="24"/>
      <c r="KQX8" s="24"/>
      <c r="KQY8" s="24"/>
      <c r="KQZ8" s="24"/>
      <c r="KRA8" s="24"/>
      <c r="KRB8" s="24"/>
      <c r="KRC8" s="24"/>
      <c r="KRD8" s="24"/>
      <c r="KRE8" s="24"/>
      <c r="KRF8" s="24"/>
      <c r="KRG8" s="24"/>
      <c r="KRH8" s="24"/>
      <c r="KRI8" s="24"/>
      <c r="KRJ8" s="24"/>
      <c r="KRK8" s="24"/>
      <c r="KRL8" s="24"/>
      <c r="KRM8" s="24"/>
      <c r="KRN8" s="24"/>
      <c r="KRO8" s="24"/>
      <c r="KRP8" s="24"/>
      <c r="KRQ8" s="24"/>
      <c r="KRR8" s="24"/>
      <c r="KRS8" s="24"/>
      <c r="KRT8" s="24"/>
      <c r="KRU8" s="24"/>
      <c r="KRV8" s="24"/>
      <c r="KRW8" s="24"/>
      <c r="KRX8" s="24"/>
      <c r="KRY8" s="24"/>
      <c r="KRZ8" s="24"/>
      <c r="KSA8" s="24"/>
      <c r="KSB8" s="24"/>
      <c r="KSC8" s="24"/>
      <c r="KSD8" s="24"/>
      <c r="KSE8" s="24"/>
      <c r="KSF8" s="24"/>
      <c r="KSG8" s="24"/>
      <c r="KSH8" s="24"/>
      <c r="KSI8" s="24"/>
      <c r="KSJ8" s="24"/>
      <c r="KSK8" s="24"/>
      <c r="KSL8" s="24"/>
      <c r="KSM8" s="24"/>
      <c r="KSN8" s="24"/>
      <c r="KSO8" s="24"/>
      <c r="KSP8" s="24"/>
      <c r="KSQ8" s="24"/>
      <c r="KSR8" s="24"/>
      <c r="KSS8" s="24"/>
      <c r="KST8" s="24"/>
      <c r="KSU8" s="24"/>
      <c r="KSV8" s="24"/>
      <c r="KSW8" s="24"/>
      <c r="KSX8" s="24"/>
      <c r="KSY8" s="24"/>
      <c r="KSZ8" s="24"/>
      <c r="KTA8" s="24"/>
      <c r="KTB8" s="24"/>
      <c r="KTC8" s="24"/>
      <c r="KTD8" s="24"/>
      <c r="KTE8" s="24"/>
      <c r="KTF8" s="24"/>
      <c r="KTG8" s="24"/>
      <c r="KTH8" s="24"/>
      <c r="KTI8" s="24"/>
      <c r="KTJ8" s="24"/>
      <c r="KTK8" s="24"/>
      <c r="KTL8" s="24"/>
      <c r="KTM8" s="24"/>
      <c r="KTN8" s="24"/>
      <c r="KTO8" s="24"/>
      <c r="KTP8" s="24"/>
      <c r="KTQ8" s="24"/>
      <c r="KTR8" s="24"/>
      <c r="KTS8" s="24"/>
      <c r="KTT8" s="24"/>
      <c r="KTU8" s="24"/>
      <c r="KTV8" s="24"/>
      <c r="KTW8" s="24"/>
      <c r="KTX8" s="24"/>
      <c r="KTY8" s="24"/>
      <c r="KTZ8" s="24"/>
      <c r="KUA8" s="24"/>
      <c r="KUB8" s="24"/>
      <c r="KUC8" s="24"/>
      <c r="KUD8" s="24"/>
      <c r="KUE8" s="24"/>
      <c r="KUF8" s="24"/>
      <c r="KUG8" s="24"/>
      <c r="KUH8" s="24"/>
      <c r="KUI8" s="24"/>
      <c r="KUJ8" s="24"/>
      <c r="KUK8" s="24"/>
      <c r="KUL8" s="24"/>
      <c r="KUM8" s="24"/>
      <c r="KUN8" s="24"/>
      <c r="KUO8" s="24"/>
      <c r="KUP8" s="24"/>
      <c r="KUQ8" s="24"/>
      <c r="KUR8" s="24"/>
      <c r="KUS8" s="24"/>
      <c r="KUT8" s="24"/>
      <c r="KUU8" s="24"/>
      <c r="KUV8" s="24"/>
      <c r="KUW8" s="24"/>
      <c r="KUX8" s="24"/>
      <c r="KUY8" s="24"/>
      <c r="KUZ8" s="24"/>
      <c r="KVA8" s="24"/>
      <c r="KVB8" s="24"/>
      <c r="KVC8" s="24"/>
      <c r="KVD8" s="24"/>
      <c r="KVE8" s="24"/>
      <c r="KVF8" s="24"/>
      <c r="KVG8" s="24"/>
      <c r="KVH8" s="24"/>
      <c r="KVI8" s="24"/>
      <c r="KVJ8" s="24"/>
      <c r="KVK8" s="24"/>
      <c r="KVL8" s="24"/>
      <c r="KVM8" s="24"/>
      <c r="KVN8" s="24"/>
      <c r="KVO8" s="24"/>
      <c r="KVP8" s="24"/>
      <c r="KVQ8" s="24"/>
      <c r="KVR8" s="24"/>
      <c r="KVS8" s="24"/>
      <c r="KVT8" s="24"/>
      <c r="KVU8" s="24"/>
      <c r="KVV8" s="24"/>
      <c r="KVW8" s="24"/>
      <c r="KVX8" s="24"/>
      <c r="KVY8" s="24"/>
      <c r="KVZ8" s="24"/>
      <c r="KWA8" s="24"/>
      <c r="KWB8" s="24"/>
      <c r="KWC8" s="24"/>
      <c r="KWD8" s="24"/>
      <c r="KWE8" s="24"/>
      <c r="KWF8" s="24"/>
      <c r="KWG8" s="24"/>
      <c r="KWH8" s="24"/>
      <c r="KWI8" s="24"/>
      <c r="KWJ8" s="24"/>
      <c r="KWK8" s="24"/>
      <c r="KWL8" s="24"/>
      <c r="KWM8" s="24"/>
      <c r="KWN8" s="24"/>
      <c r="KWO8" s="24"/>
      <c r="KWP8" s="24"/>
      <c r="KWQ8" s="24"/>
      <c r="KWR8" s="24"/>
      <c r="KWS8" s="24"/>
      <c r="KWT8" s="24"/>
      <c r="KWU8" s="24"/>
      <c r="KWV8" s="24"/>
      <c r="KWW8" s="24"/>
      <c r="KWX8" s="24"/>
      <c r="KWY8" s="24"/>
      <c r="KWZ8" s="24"/>
      <c r="KXA8" s="24"/>
      <c r="KXB8" s="24"/>
      <c r="KXC8" s="24"/>
      <c r="KXD8" s="24"/>
      <c r="KXE8" s="24"/>
      <c r="KXF8" s="24"/>
      <c r="KXG8" s="24"/>
      <c r="KXH8" s="24"/>
      <c r="KXI8" s="24"/>
      <c r="KXJ8" s="24"/>
      <c r="KXK8" s="24"/>
      <c r="KXL8" s="24"/>
      <c r="KXM8" s="24"/>
      <c r="KXN8" s="24"/>
      <c r="KXO8" s="24"/>
      <c r="KXP8" s="24"/>
      <c r="KXQ8" s="24"/>
      <c r="KXR8" s="24"/>
      <c r="KXS8" s="24"/>
      <c r="KXT8" s="24"/>
      <c r="KXU8" s="24"/>
      <c r="KXV8" s="24"/>
      <c r="KXW8" s="24"/>
      <c r="KXX8" s="24"/>
      <c r="KXY8" s="24"/>
      <c r="KXZ8" s="24"/>
      <c r="KYA8" s="24"/>
      <c r="KYB8" s="24"/>
      <c r="KYC8" s="24"/>
      <c r="KYD8" s="24"/>
      <c r="KYE8" s="24"/>
      <c r="KYF8" s="24"/>
      <c r="KYG8" s="24"/>
      <c r="KYH8" s="24"/>
      <c r="KYI8" s="24"/>
      <c r="KYJ8" s="24"/>
      <c r="KYK8" s="24"/>
      <c r="KYL8" s="24"/>
      <c r="KYM8" s="24"/>
      <c r="KYN8" s="24"/>
      <c r="KYO8" s="24"/>
      <c r="KYP8" s="24"/>
      <c r="KYQ8" s="24"/>
      <c r="KYR8" s="24"/>
      <c r="KYS8" s="24"/>
      <c r="KYT8" s="24"/>
      <c r="KYU8" s="24"/>
      <c r="KYV8" s="24"/>
      <c r="KYW8" s="24"/>
      <c r="KYX8" s="24"/>
      <c r="KYY8" s="24"/>
      <c r="KYZ8" s="24"/>
      <c r="KZA8" s="24"/>
      <c r="KZB8" s="24"/>
      <c r="KZC8" s="24"/>
      <c r="KZD8" s="24"/>
      <c r="KZE8" s="24"/>
      <c r="KZF8" s="24"/>
      <c r="KZG8" s="24"/>
      <c r="KZH8" s="24"/>
      <c r="KZI8" s="24"/>
      <c r="KZJ8" s="24"/>
      <c r="KZK8" s="24"/>
      <c r="KZL8" s="24"/>
      <c r="KZM8" s="24"/>
      <c r="KZN8" s="24"/>
      <c r="KZO8" s="24"/>
      <c r="KZP8" s="24"/>
      <c r="KZQ8" s="24"/>
      <c r="KZR8" s="24"/>
      <c r="KZS8" s="24"/>
      <c r="KZT8" s="24"/>
      <c r="KZU8" s="24"/>
      <c r="KZV8" s="24"/>
      <c r="KZW8" s="24"/>
      <c r="KZX8" s="24"/>
      <c r="KZY8" s="24"/>
      <c r="KZZ8" s="24"/>
      <c r="LAA8" s="24"/>
      <c r="LAB8" s="24"/>
      <c r="LAC8" s="24"/>
      <c r="LAD8" s="24"/>
      <c r="LAE8" s="24"/>
      <c r="LAF8" s="24"/>
      <c r="LAG8" s="24"/>
      <c r="LAH8" s="24"/>
      <c r="LAI8" s="24"/>
      <c r="LAJ8" s="24"/>
      <c r="LAK8" s="24"/>
      <c r="LAL8" s="24"/>
      <c r="LAM8" s="24"/>
      <c r="LAN8" s="24"/>
      <c r="LAO8" s="24"/>
      <c r="LAP8" s="24"/>
      <c r="LAQ8" s="24"/>
      <c r="LAR8" s="24"/>
      <c r="LAS8" s="24"/>
      <c r="LAT8" s="24"/>
      <c r="LAU8" s="24"/>
      <c r="LAV8" s="24"/>
      <c r="LAW8" s="24"/>
      <c r="LAX8" s="24"/>
      <c r="LAY8" s="24"/>
      <c r="LAZ8" s="24"/>
      <c r="LBA8" s="24"/>
      <c r="LBB8" s="24"/>
      <c r="LBC8" s="24"/>
      <c r="LBD8" s="24"/>
      <c r="LBE8" s="24"/>
      <c r="LBF8" s="24"/>
      <c r="LBG8" s="24"/>
      <c r="LBH8" s="24"/>
      <c r="LBI8" s="24"/>
      <c r="LBJ8" s="24"/>
      <c r="LBK8" s="24"/>
      <c r="LBL8" s="24"/>
      <c r="LBM8" s="24"/>
      <c r="LBN8" s="24"/>
      <c r="LBO8" s="24"/>
      <c r="LBP8" s="24"/>
      <c r="LBQ8" s="24"/>
      <c r="LBR8" s="24"/>
      <c r="LBS8" s="24"/>
      <c r="LBT8" s="24"/>
      <c r="LBU8" s="24"/>
      <c r="LBV8" s="24"/>
      <c r="LBW8" s="24"/>
      <c r="LBX8" s="24"/>
      <c r="LBY8" s="24"/>
      <c r="LBZ8" s="24"/>
      <c r="LCA8" s="24"/>
      <c r="LCB8" s="24"/>
      <c r="LCC8" s="24"/>
      <c r="LCD8" s="24"/>
      <c r="LCE8" s="24"/>
      <c r="LCF8" s="24"/>
      <c r="LCG8" s="24"/>
      <c r="LCH8" s="24"/>
      <c r="LCI8" s="24"/>
      <c r="LCJ8" s="24"/>
      <c r="LCK8" s="24"/>
      <c r="LCL8" s="24"/>
      <c r="LCM8" s="24"/>
      <c r="LCN8" s="24"/>
      <c r="LCO8" s="24"/>
      <c r="LCP8" s="24"/>
      <c r="LCQ8" s="24"/>
      <c r="LCR8" s="24"/>
      <c r="LCS8" s="24"/>
      <c r="LCT8" s="24"/>
      <c r="LCU8" s="24"/>
      <c r="LCV8" s="24"/>
      <c r="LCW8" s="24"/>
      <c r="LCX8" s="24"/>
      <c r="LCY8" s="24"/>
      <c r="LCZ8" s="24"/>
      <c r="LDA8" s="24"/>
      <c r="LDB8" s="24"/>
      <c r="LDC8" s="24"/>
      <c r="LDD8" s="24"/>
      <c r="LDE8" s="24"/>
      <c r="LDF8" s="24"/>
      <c r="LDG8" s="24"/>
      <c r="LDH8" s="24"/>
      <c r="LDI8" s="24"/>
      <c r="LDJ8" s="24"/>
      <c r="LDK8" s="24"/>
      <c r="LDL8" s="24"/>
      <c r="LDM8" s="24"/>
      <c r="LDN8" s="24"/>
      <c r="LDO8" s="24"/>
      <c r="LDP8" s="24"/>
      <c r="LDQ8" s="24"/>
      <c r="LDR8" s="24"/>
      <c r="LDS8" s="24"/>
      <c r="LDT8" s="24"/>
      <c r="LDU8" s="24"/>
      <c r="LDV8" s="24"/>
      <c r="LDW8" s="24"/>
      <c r="LDX8" s="24"/>
      <c r="LDY8" s="24"/>
      <c r="LDZ8" s="24"/>
      <c r="LEA8" s="24"/>
      <c r="LEB8" s="24"/>
      <c r="LEC8" s="24"/>
      <c r="LED8" s="24"/>
      <c r="LEE8" s="24"/>
      <c r="LEF8" s="24"/>
      <c r="LEG8" s="24"/>
      <c r="LEH8" s="24"/>
      <c r="LEI8" s="24"/>
      <c r="LEJ8" s="24"/>
      <c r="LEK8" s="24"/>
      <c r="LEL8" s="24"/>
      <c r="LEM8" s="24"/>
      <c r="LEN8" s="24"/>
      <c r="LEO8" s="24"/>
      <c r="LEP8" s="24"/>
      <c r="LEQ8" s="24"/>
      <c r="LER8" s="24"/>
      <c r="LES8" s="24"/>
      <c r="LET8" s="24"/>
      <c r="LEU8" s="24"/>
      <c r="LEV8" s="24"/>
      <c r="LEW8" s="24"/>
      <c r="LEX8" s="24"/>
      <c r="LEY8" s="24"/>
      <c r="LEZ8" s="24"/>
      <c r="LFA8" s="24"/>
      <c r="LFB8" s="24"/>
      <c r="LFC8" s="24"/>
      <c r="LFD8" s="24"/>
      <c r="LFE8" s="24"/>
      <c r="LFF8" s="24"/>
      <c r="LFG8" s="24"/>
      <c r="LFH8" s="24"/>
      <c r="LFI8" s="24"/>
      <c r="LFJ8" s="24"/>
      <c r="LFK8" s="24"/>
      <c r="LFL8" s="24"/>
      <c r="LFM8" s="24"/>
      <c r="LFN8" s="24"/>
      <c r="LFO8" s="24"/>
      <c r="LFP8" s="24"/>
      <c r="LFQ8" s="24"/>
      <c r="LFR8" s="24"/>
      <c r="LFS8" s="24"/>
      <c r="LFT8" s="24"/>
      <c r="LFU8" s="24"/>
      <c r="LFV8" s="24"/>
      <c r="LFW8" s="24"/>
      <c r="LFX8" s="24"/>
      <c r="LFY8" s="24"/>
      <c r="LFZ8" s="24"/>
      <c r="LGA8" s="24"/>
      <c r="LGB8" s="24"/>
      <c r="LGC8" s="24"/>
      <c r="LGD8" s="24"/>
      <c r="LGE8" s="24"/>
      <c r="LGF8" s="24"/>
      <c r="LGG8" s="24"/>
      <c r="LGH8" s="24"/>
      <c r="LGI8" s="24"/>
      <c r="LGJ8" s="24"/>
      <c r="LGK8" s="24"/>
      <c r="LGL8" s="24"/>
      <c r="LGM8" s="24"/>
      <c r="LGN8" s="24"/>
      <c r="LGO8" s="24"/>
      <c r="LGP8" s="24"/>
      <c r="LGQ8" s="24"/>
      <c r="LGR8" s="24"/>
      <c r="LGS8" s="24"/>
      <c r="LGT8" s="24"/>
      <c r="LGU8" s="24"/>
      <c r="LGV8" s="24"/>
      <c r="LGW8" s="24"/>
      <c r="LGX8" s="24"/>
      <c r="LGY8" s="24"/>
      <c r="LGZ8" s="24"/>
      <c r="LHA8" s="24"/>
      <c r="LHB8" s="24"/>
      <c r="LHC8" s="24"/>
      <c r="LHD8" s="24"/>
      <c r="LHE8" s="24"/>
      <c r="LHF8" s="24"/>
      <c r="LHG8" s="24"/>
      <c r="LHH8" s="24"/>
      <c r="LHI8" s="24"/>
      <c r="LHJ8" s="24"/>
      <c r="LHK8" s="24"/>
      <c r="LHL8" s="24"/>
      <c r="LHM8" s="24"/>
      <c r="LHN8" s="24"/>
      <c r="LHO8" s="24"/>
      <c r="LHP8" s="24"/>
      <c r="LHQ8" s="24"/>
      <c r="LHR8" s="24"/>
      <c r="LHS8" s="24"/>
      <c r="LHT8" s="24"/>
      <c r="LHU8" s="24"/>
      <c r="LHV8" s="24"/>
      <c r="LHW8" s="24"/>
      <c r="LHX8" s="24"/>
      <c r="LHY8" s="24"/>
      <c r="LHZ8" s="24"/>
      <c r="LIA8" s="24"/>
      <c r="LIB8" s="24"/>
      <c r="LIC8" s="24"/>
      <c r="LID8" s="24"/>
      <c r="LIE8" s="24"/>
      <c r="LIF8" s="24"/>
      <c r="LIG8" s="24"/>
      <c r="LIH8" s="24"/>
      <c r="LII8" s="24"/>
      <c r="LIJ8" s="24"/>
      <c r="LIK8" s="24"/>
      <c r="LIL8" s="24"/>
      <c r="LIM8" s="24"/>
      <c r="LIN8" s="24"/>
      <c r="LIO8" s="24"/>
      <c r="LIP8" s="24"/>
      <c r="LIQ8" s="24"/>
      <c r="LIR8" s="24"/>
      <c r="LIS8" s="24"/>
      <c r="LIT8" s="24"/>
      <c r="LIU8" s="24"/>
      <c r="LIV8" s="24"/>
      <c r="LIW8" s="24"/>
      <c r="LIX8" s="24"/>
      <c r="LIY8" s="24"/>
      <c r="LIZ8" s="24"/>
      <c r="LJA8" s="24"/>
      <c r="LJB8" s="24"/>
      <c r="LJC8" s="24"/>
      <c r="LJD8" s="24"/>
      <c r="LJE8" s="24"/>
      <c r="LJF8" s="24"/>
      <c r="LJG8" s="24"/>
      <c r="LJH8" s="24"/>
      <c r="LJI8" s="24"/>
      <c r="LJJ8" s="24"/>
      <c r="LJK8" s="24"/>
      <c r="LJL8" s="24"/>
      <c r="LJM8" s="24"/>
      <c r="LJN8" s="24"/>
      <c r="LJO8" s="24"/>
      <c r="LJP8" s="24"/>
      <c r="LJQ8" s="24"/>
      <c r="LJR8" s="24"/>
      <c r="LJS8" s="24"/>
      <c r="LJT8" s="24"/>
      <c r="LJU8" s="24"/>
      <c r="LJV8" s="24"/>
      <c r="LJW8" s="24"/>
      <c r="LJX8" s="24"/>
      <c r="LJY8" s="24"/>
      <c r="LJZ8" s="24"/>
      <c r="LKA8" s="24"/>
      <c r="LKB8" s="24"/>
      <c r="LKC8" s="24"/>
      <c r="LKD8" s="24"/>
      <c r="LKE8" s="24"/>
      <c r="LKF8" s="24"/>
      <c r="LKG8" s="24"/>
      <c r="LKH8" s="24"/>
      <c r="LKI8" s="24"/>
      <c r="LKJ8" s="24"/>
      <c r="LKK8" s="24"/>
      <c r="LKL8" s="24"/>
      <c r="LKM8" s="24"/>
      <c r="LKN8" s="24"/>
      <c r="LKO8" s="24"/>
      <c r="LKP8" s="24"/>
      <c r="LKQ8" s="24"/>
      <c r="LKR8" s="24"/>
      <c r="LKS8" s="24"/>
      <c r="LKT8" s="24"/>
      <c r="LKU8" s="24"/>
      <c r="LKV8" s="24"/>
      <c r="LKW8" s="24"/>
      <c r="LKX8" s="24"/>
      <c r="LKY8" s="24"/>
      <c r="LKZ8" s="24"/>
      <c r="LLA8" s="24"/>
      <c r="LLB8" s="24"/>
      <c r="LLC8" s="24"/>
      <c r="LLD8" s="24"/>
      <c r="LLE8" s="24"/>
      <c r="LLF8" s="24"/>
      <c r="LLG8" s="24"/>
      <c r="LLH8" s="24"/>
      <c r="LLI8" s="24"/>
      <c r="LLJ8" s="24"/>
      <c r="LLK8" s="24"/>
      <c r="LLL8" s="24"/>
      <c r="LLM8" s="24"/>
      <c r="LLN8" s="24"/>
      <c r="LLO8" s="24"/>
      <c r="LLP8" s="24"/>
      <c r="LLQ8" s="24"/>
      <c r="LLR8" s="24"/>
      <c r="LLS8" s="24"/>
      <c r="LLT8" s="24"/>
      <c r="LLU8" s="24"/>
      <c r="LLV8" s="24"/>
      <c r="LLW8" s="24"/>
      <c r="LLX8" s="24"/>
      <c r="LLY8" s="24"/>
      <c r="LLZ8" s="24"/>
      <c r="LMA8" s="24"/>
      <c r="LMB8" s="24"/>
      <c r="LMC8" s="24"/>
      <c r="LMD8" s="24"/>
      <c r="LME8" s="24"/>
      <c r="LMF8" s="24"/>
      <c r="LMG8" s="24"/>
      <c r="LMH8" s="24"/>
      <c r="LMI8" s="24"/>
      <c r="LMJ8" s="24"/>
      <c r="LMK8" s="24"/>
      <c r="LML8" s="24"/>
      <c r="LMM8" s="24"/>
      <c r="LMN8" s="24"/>
      <c r="LMO8" s="24"/>
      <c r="LMP8" s="24"/>
      <c r="LMQ8" s="24"/>
      <c r="LMR8" s="24"/>
      <c r="LMS8" s="24"/>
      <c r="LMT8" s="24"/>
      <c r="LMU8" s="24"/>
      <c r="LMV8" s="24"/>
      <c r="LMW8" s="24"/>
      <c r="LMX8" s="24"/>
      <c r="LMY8" s="24"/>
      <c r="LMZ8" s="24"/>
      <c r="LNA8" s="24"/>
      <c r="LNB8" s="24"/>
      <c r="LNC8" s="24"/>
      <c r="LND8" s="24"/>
      <c r="LNE8" s="24"/>
      <c r="LNF8" s="24"/>
      <c r="LNG8" s="24"/>
      <c r="LNH8" s="24"/>
      <c r="LNI8" s="24"/>
      <c r="LNJ8" s="24"/>
      <c r="LNK8" s="24"/>
      <c r="LNL8" s="24"/>
      <c r="LNM8" s="24"/>
      <c r="LNN8" s="24"/>
      <c r="LNO8" s="24"/>
      <c r="LNP8" s="24"/>
      <c r="LNQ8" s="24"/>
      <c r="LNR8" s="24"/>
      <c r="LNS8" s="24"/>
      <c r="LNT8" s="24"/>
      <c r="LNU8" s="24"/>
      <c r="LNV8" s="24"/>
      <c r="LNW8" s="24"/>
      <c r="LNX8" s="24"/>
      <c r="LNY8" s="24"/>
      <c r="LNZ8" s="24"/>
      <c r="LOA8" s="24"/>
      <c r="LOB8" s="24"/>
      <c r="LOC8" s="24"/>
      <c r="LOD8" s="24"/>
      <c r="LOE8" s="24"/>
      <c r="LOF8" s="24"/>
      <c r="LOG8" s="24"/>
      <c r="LOH8" s="24"/>
      <c r="LOI8" s="24"/>
      <c r="LOJ8" s="24"/>
      <c r="LOK8" s="24"/>
      <c r="LOL8" s="24"/>
      <c r="LOM8" s="24"/>
      <c r="LON8" s="24"/>
      <c r="LOO8" s="24"/>
      <c r="LOP8" s="24"/>
      <c r="LOQ8" s="24"/>
      <c r="LOR8" s="24"/>
      <c r="LOS8" s="24"/>
      <c r="LOT8" s="24"/>
      <c r="LOU8" s="24"/>
      <c r="LOV8" s="24"/>
      <c r="LOW8" s="24"/>
      <c r="LOX8" s="24"/>
      <c r="LOY8" s="24"/>
      <c r="LOZ8" s="24"/>
      <c r="LPA8" s="24"/>
      <c r="LPB8" s="24"/>
      <c r="LPC8" s="24"/>
      <c r="LPD8" s="24"/>
      <c r="LPE8" s="24"/>
      <c r="LPF8" s="24"/>
      <c r="LPG8" s="24"/>
      <c r="LPH8" s="24"/>
      <c r="LPI8" s="24"/>
      <c r="LPJ8" s="24"/>
      <c r="LPK8" s="24"/>
      <c r="LPL8" s="24"/>
      <c r="LPM8" s="24"/>
      <c r="LPN8" s="24"/>
      <c r="LPO8" s="24"/>
      <c r="LPP8" s="24"/>
      <c r="LPQ8" s="24"/>
      <c r="LPR8" s="24"/>
      <c r="LPS8" s="24"/>
      <c r="LPT8" s="24"/>
      <c r="LPU8" s="24"/>
      <c r="LPV8" s="24"/>
      <c r="LPW8" s="24"/>
      <c r="LPX8" s="24"/>
      <c r="LPY8" s="24"/>
      <c r="LPZ8" s="24"/>
      <c r="LQA8" s="24"/>
      <c r="LQB8" s="24"/>
      <c r="LQC8" s="24"/>
      <c r="LQD8" s="24"/>
      <c r="LQE8" s="24"/>
      <c r="LQF8" s="24"/>
      <c r="LQG8" s="24"/>
      <c r="LQH8" s="24"/>
      <c r="LQI8" s="24"/>
      <c r="LQJ8" s="24"/>
      <c r="LQK8" s="24"/>
      <c r="LQL8" s="24"/>
      <c r="LQM8" s="24"/>
      <c r="LQN8" s="24"/>
      <c r="LQO8" s="24"/>
      <c r="LQP8" s="24"/>
      <c r="LQQ8" s="24"/>
      <c r="LQR8" s="24"/>
      <c r="LQS8" s="24"/>
      <c r="LQT8" s="24"/>
      <c r="LQU8" s="24"/>
      <c r="LQV8" s="24"/>
      <c r="LQW8" s="24"/>
      <c r="LQX8" s="24"/>
      <c r="LQY8" s="24"/>
      <c r="LQZ8" s="24"/>
      <c r="LRA8" s="24"/>
      <c r="LRB8" s="24"/>
      <c r="LRC8" s="24"/>
      <c r="LRD8" s="24"/>
      <c r="LRE8" s="24"/>
      <c r="LRF8" s="24"/>
      <c r="LRG8" s="24"/>
      <c r="LRH8" s="24"/>
      <c r="LRI8" s="24"/>
      <c r="LRJ8" s="24"/>
      <c r="LRK8" s="24"/>
      <c r="LRL8" s="24"/>
      <c r="LRM8" s="24"/>
      <c r="LRN8" s="24"/>
      <c r="LRO8" s="24"/>
      <c r="LRP8" s="24"/>
      <c r="LRQ8" s="24"/>
      <c r="LRR8" s="24"/>
      <c r="LRS8" s="24"/>
      <c r="LRT8" s="24"/>
      <c r="LRU8" s="24"/>
      <c r="LRV8" s="24"/>
      <c r="LRW8" s="24"/>
      <c r="LRX8" s="24"/>
      <c r="LRY8" s="24"/>
      <c r="LRZ8" s="24"/>
      <c r="LSA8" s="24"/>
      <c r="LSB8" s="24"/>
      <c r="LSC8" s="24"/>
      <c r="LSD8" s="24"/>
      <c r="LSE8" s="24"/>
      <c r="LSF8" s="24"/>
      <c r="LSG8" s="24"/>
      <c r="LSH8" s="24"/>
      <c r="LSI8" s="24"/>
      <c r="LSJ8" s="24"/>
      <c r="LSK8" s="24"/>
      <c r="LSL8" s="24"/>
      <c r="LSM8" s="24"/>
      <c r="LSN8" s="24"/>
      <c r="LSO8" s="24"/>
      <c r="LSP8" s="24"/>
      <c r="LSQ8" s="24"/>
      <c r="LSR8" s="24"/>
      <c r="LSS8" s="24"/>
      <c r="LST8" s="24"/>
      <c r="LSU8" s="24"/>
      <c r="LSV8" s="24"/>
      <c r="LSW8" s="24"/>
      <c r="LSX8" s="24"/>
      <c r="LSY8" s="24"/>
      <c r="LSZ8" s="24"/>
      <c r="LTA8" s="24"/>
      <c r="LTB8" s="24"/>
      <c r="LTC8" s="24"/>
      <c r="LTD8" s="24"/>
      <c r="LTE8" s="24"/>
      <c r="LTF8" s="24"/>
      <c r="LTG8" s="24"/>
      <c r="LTH8" s="24"/>
      <c r="LTI8" s="24"/>
      <c r="LTJ8" s="24"/>
      <c r="LTK8" s="24"/>
      <c r="LTL8" s="24"/>
      <c r="LTM8" s="24"/>
      <c r="LTN8" s="24"/>
      <c r="LTO8" s="24"/>
      <c r="LTP8" s="24"/>
      <c r="LTQ8" s="24"/>
      <c r="LTR8" s="24"/>
      <c r="LTS8" s="24"/>
      <c r="LTT8" s="24"/>
      <c r="LTU8" s="24"/>
      <c r="LTV8" s="24"/>
      <c r="LTW8" s="24"/>
      <c r="LTX8" s="24"/>
      <c r="LTY8" s="24"/>
      <c r="LTZ8" s="24"/>
      <c r="LUA8" s="24"/>
      <c r="LUB8" s="24"/>
      <c r="LUC8" s="24"/>
      <c r="LUD8" s="24"/>
      <c r="LUE8" s="24"/>
      <c r="LUF8" s="24"/>
      <c r="LUG8" s="24"/>
      <c r="LUH8" s="24"/>
      <c r="LUI8" s="24"/>
      <c r="LUJ8" s="24"/>
      <c r="LUK8" s="24"/>
      <c r="LUL8" s="24"/>
      <c r="LUM8" s="24"/>
      <c r="LUN8" s="24"/>
      <c r="LUO8" s="24"/>
      <c r="LUP8" s="24"/>
      <c r="LUQ8" s="24"/>
      <c r="LUR8" s="24"/>
      <c r="LUS8" s="24"/>
      <c r="LUT8" s="24"/>
      <c r="LUU8" s="24"/>
      <c r="LUV8" s="24"/>
      <c r="LUW8" s="24"/>
      <c r="LUX8" s="24"/>
      <c r="LUY8" s="24"/>
      <c r="LUZ8" s="24"/>
      <c r="LVA8" s="24"/>
      <c r="LVB8" s="24"/>
      <c r="LVC8" s="24"/>
      <c r="LVD8" s="24"/>
      <c r="LVE8" s="24"/>
      <c r="LVF8" s="24"/>
      <c r="LVG8" s="24"/>
      <c r="LVH8" s="24"/>
      <c r="LVI8" s="24"/>
      <c r="LVJ8" s="24"/>
      <c r="LVK8" s="24"/>
      <c r="LVL8" s="24"/>
      <c r="LVM8" s="24"/>
      <c r="LVN8" s="24"/>
      <c r="LVO8" s="24"/>
      <c r="LVP8" s="24"/>
      <c r="LVQ8" s="24"/>
      <c r="LVR8" s="24"/>
      <c r="LVS8" s="24"/>
      <c r="LVT8" s="24"/>
      <c r="LVU8" s="24"/>
      <c r="LVV8" s="24"/>
      <c r="LVW8" s="24"/>
      <c r="LVX8" s="24"/>
      <c r="LVY8" s="24"/>
      <c r="LVZ8" s="24"/>
      <c r="LWA8" s="24"/>
      <c r="LWB8" s="24"/>
      <c r="LWC8" s="24"/>
      <c r="LWD8" s="24"/>
      <c r="LWE8" s="24"/>
      <c r="LWF8" s="24"/>
      <c r="LWG8" s="24"/>
      <c r="LWH8" s="24"/>
      <c r="LWI8" s="24"/>
      <c r="LWJ8" s="24"/>
      <c r="LWK8" s="24"/>
      <c r="LWL8" s="24"/>
      <c r="LWM8" s="24"/>
      <c r="LWN8" s="24"/>
      <c r="LWO8" s="24"/>
      <c r="LWP8" s="24"/>
      <c r="LWQ8" s="24"/>
      <c r="LWR8" s="24"/>
      <c r="LWS8" s="24"/>
      <c r="LWT8" s="24"/>
      <c r="LWU8" s="24"/>
      <c r="LWV8" s="24"/>
      <c r="LWW8" s="24"/>
      <c r="LWX8" s="24"/>
      <c r="LWY8" s="24"/>
      <c r="LWZ8" s="24"/>
      <c r="LXA8" s="24"/>
      <c r="LXB8" s="24"/>
      <c r="LXC8" s="24"/>
      <c r="LXD8" s="24"/>
      <c r="LXE8" s="24"/>
      <c r="LXF8" s="24"/>
      <c r="LXG8" s="24"/>
      <c r="LXH8" s="24"/>
      <c r="LXI8" s="24"/>
      <c r="LXJ8" s="24"/>
      <c r="LXK8" s="24"/>
      <c r="LXL8" s="24"/>
      <c r="LXM8" s="24"/>
      <c r="LXN8" s="24"/>
      <c r="LXO8" s="24"/>
      <c r="LXP8" s="24"/>
      <c r="LXQ8" s="24"/>
      <c r="LXR8" s="24"/>
      <c r="LXS8" s="24"/>
      <c r="LXT8" s="24"/>
      <c r="LXU8" s="24"/>
      <c r="LXV8" s="24"/>
      <c r="LXW8" s="24"/>
      <c r="LXX8" s="24"/>
      <c r="LXY8" s="24"/>
      <c r="LXZ8" s="24"/>
      <c r="LYA8" s="24"/>
      <c r="LYB8" s="24"/>
      <c r="LYC8" s="24"/>
      <c r="LYD8" s="24"/>
      <c r="LYE8" s="24"/>
      <c r="LYF8" s="24"/>
      <c r="LYG8" s="24"/>
      <c r="LYH8" s="24"/>
      <c r="LYI8" s="24"/>
      <c r="LYJ8" s="24"/>
      <c r="LYK8" s="24"/>
      <c r="LYL8" s="24"/>
      <c r="LYM8" s="24"/>
      <c r="LYN8" s="24"/>
      <c r="LYO8" s="24"/>
      <c r="LYP8" s="24"/>
      <c r="LYQ8" s="24"/>
      <c r="LYR8" s="24"/>
      <c r="LYS8" s="24"/>
      <c r="LYT8" s="24"/>
      <c r="LYU8" s="24"/>
      <c r="LYV8" s="24"/>
      <c r="LYW8" s="24"/>
      <c r="LYX8" s="24"/>
      <c r="LYY8" s="24"/>
      <c r="LYZ8" s="24"/>
      <c r="LZA8" s="24"/>
      <c r="LZB8" s="24"/>
      <c r="LZC8" s="24"/>
      <c r="LZD8" s="24"/>
      <c r="LZE8" s="24"/>
      <c r="LZF8" s="24"/>
      <c r="LZG8" s="24"/>
      <c r="LZH8" s="24"/>
      <c r="LZI8" s="24"/>
      <c r="LZJ8" s="24"/>
      <c r="LZK8" s="24"/>
      <c r="LZL8" s="24"/>
      <c r="LZM8" s="24"/>
      <c r="LZN8" s="24"/>
      <c r="LZO8" s="24"/>
      <c r="LZP8" s="24"/>
      <c r="LZQ8" s="24"/>
      <c r="LZR8" s="24"/>
      <c r="LZS8" s="24"/>
      <c r="LZT8" s="24"/>
      <c r="LZU8" s="24"/>
      <c r="LZV8" s="24"/>
      <c r="LZW8" s="24"/>
      <c r="LZX8" s="24"/>
      <c r="LZY8" s="24"/>
      <c r="LZZ8" s="24"/>
      <c r="MAA8" s="24"/>
      <c r="MAB8" s="24"/>
      <c r="MAC8" s="24"/>
      <c r="MAD8" s="24"/>
      <c r="MAE8" s="24"/>
      <c r="MAF8" s="24"/>
      <c r="MAG8" s="24"/>
      <c r="MAH8" s="24"/>
      <c r="MAI8" s="24"/>
      <c r="MAJ8" s="24"/>
      <c r="MAK8" s="24"/>
      <c r="MAL8" s="24"/>
      <c r="MAM8" s="24"/>
      <c r="MAN8" s="24"/>
      <c r="MAO8" s="24"/>
      <c r="MAP8" s="24"/>
      <c r="MAQ8" s="24"/>
      <c r="MAR8" s="24"/>
      <c r="MAS8" s="24"/>
      <c r="MAT8" s="24"/>
      <c r="MAU8" s="24"/>
      <c r="MAV8" s="24"/>
      <c r="MAW8" s="24"/>
      <c r="MAX8" s="24"/>
      <c r="MAY8" s="24"/>
      <c r="MAZ8" s="24"/>
      <c r="MBA8" s="24"/>
      <c r="MBB8" s="24"/>
      <c r="MBC8" s="24"/>
      <c r="MBD8" s="24"/>
      <c r="MBE8" s="24"/>
      <c r="MBF8" s="24"/>
      <c r="MBG8" s="24"/>
      <c r="MBH8" s="24"/>
      <c r="MBI8" s="24"/>
      <c r="MBJ8" s="24"/>
      <c r="MBK8" s="24"/>
      <c r="MBL8" s="24"/>
      <c r="MBM8" s="24"/>
      <c r="MBN8" s="24"/>
      <c r="MBO8" s="24"/>
      <c r="MBP8" s="24"/>
      <c r="MBQ8" s="24"/>
      <c r="MBR8" s="24"/>
      <c r="MBS8" s="24"/>
      <c r="MBT8" s="24"/>
      <c r="MBU8" s="24"/>
      <c r="MBV8" s="24"/>
      <c r="MBW8" s="24"/>
      <c r="MBX8" s="24"/>
      <c r="MBY8" s="24"/>
      <c r="MBZ8" s="24"/>
      <c r="MCA8" s="24"/>
      <c r="MCB8" s="24"/>
      <c r="MCC8" s="24"/>
      <c r="MCD8" s="24"/>
      <c r="MCE8" s="24"/>
      <c r="MCF8" s="24"/>
      <c r="MCG8" s="24"/>
      <c r="MCH8" s="24"/>
      <c r="MCI8" s="24"/>
      <c r="MCJ8" s="24"/>
      <c r="MCK8" s="24"/>
      <c r="MCL8" s="24"/>
      <c r="MCM8" s="24"/>
      <c r="MCN8" s="24"/>
      <c r="MCO8" s="24"/>
      <c r="MCP8" s="24"/>
      <c r="MCQ8" s="24"/>
      <c r="MCR8" s="24"/>
      <c r="MCS8" s="24"/>
      <c r="MCT8" s="24"/>
      <c r="MCU8" s="24"/>
      <c r="MCV8" s="24"/>
      <c r="MCW8" s="24"/>
      <c r="MCX8" s="24"/>
      <c r="MCY8" s="24"/>
      <c r="MCZ8" s="24"/>
      <c r="MDA8" s="24"/>
      <c r="MDB8" s="24"/>
      <c r="MDC8" s="24"/>
      <c r="MDD8" s="24"/>
      <c r="MDE8" s="24"/>
      <c r="MDF8" s="24"/>
      <c r="MDG8" s="24"/>
      <c r="MDH8" s="24"/>
      <c r="MDI8" s="24"/>
      <c r="MDJ8" s="24"/>
      <c r="MDK8" s="24"/>
      <c r="MDL8" s="24"/>
      <c r="MDM8" s="24"/>
      <c r="MDN8" s="24"/>
      <c r="MDO8" s="24"/>
      <c r="MDP8" s="24"/>
      <c r="MDQ8" s="24"/>
      <c r="MDR8" s="24"/>
      <c r="MDS8" s="24"/>
      <c r="MDT8" s="24"/>
      <c r="MDU8" s="24"/>
      <c r="MDV8" s="24"/>
      <c r="MDW8" s="24"/>
      <c r="MDX8" s="24"/>
      <c r="MDY8" s="24"/>
      <c r="MDZ8" s="24"/>
      <c r="MEA8" s="24"/>
      <c r="MEB8" s="24"/>
      <c r="MEC8" s="24"/>
      <c r="MED8" s="24"/>
      <c r="MEE8" s="24"/>
      <c r="MEF8" s="24"/>
      <c r="MEG8" s="24"/>
      <c r="MEH8" s="24"/>
      <c r="MEI8" s="24"/>
      <c r="MEJ8" s="24"/>
      <c r="MEK8" s="24"/>
      <c r="MEL8" s="24"/>
      <c r="MEM8" s="24"/>
      <c r="MEN8" s="24"/>
      <c r="MEO8" s="24"/>
      <c r="MEP8" s="24"/>
      <c r="MEQ8" s="24"/>
      <c r="MER8" s="24"/>
      <c r="MES8" s="24"/>
      <c r="MET8" s="24"/>
      <c r="MEU8" s="24"/>
      <c r="MEV8" s="24"/>
      <c r="MEW8" s="24"/>
      <c r="MEX8" s="24"/>
      <c r="MEY8" s="24"/>
      <c r="MEZ8" s="24"/>
      <c r="MFA8" s="24"/>
      <c r="MFB8" s="24"/>
      <c r="MFC8" s="24"/>
      <c r="MFD8" s="24"/>
      <c r="MFE8" s="24"/>
      <c r="MFF8" s="24"/>
      <c r="MFG8" s="24"/>
      <c r="MFH8" s="24"/>
      <c r="MFI8" s="24"/>
      <c r="MFJ8" s="24"/>
      <c r="MFK8" s="24"/>
      <c r="MFL8" s="24"/>
      <c r="MFM8" s="24"/>
      <c r="MFN8" s="24"/>
      <c r="MFO8" s="24"/>
      <c r="MFP8" s="24"/>
      <c r="MFQ8" s="24"/>
      <c r="MFR8" s="24"/>
      <c r="MFS8" s="24"/>
      <c r="MFT8" s="24"/>
      <c r="MFU8" s="24"/>
      <c r="MFV8" s="24"/>
      <c r="MFW8" s="24"/>
      <c r="MFX8" s="24"/>
      <c r="MFY8" s="24"/>
      <c r="MFZ8" s="24"/>
      <c r="MGA8" s="24"/>
      <c r="MGB8" s="24"/>
      <c r="MGC8" s="24"/>
      <c r="MGD8" s="24"/>
      <c r="MGE8" s="24"/>
      <c r="MGF8" s="24"/>
      <c r="MGG8" s="24"/>
      <c r="MGH8" s="24"/>
      <c r="MGI8" s="24"/>
      <c r="MGJ8" s="24"/>
      <c r="MGK8" s="24"/>
      <c r="MGL8" s="24"/>
      <c r="MGM8" s="24"/>
      <c r="MGN8" s="24"/>
      <c r="MGO8" s="24"/>
      <c r="MGP8" s="24"/>
      <c r="MGQ8" s="24"/>
      <c r="MGR8" s="24"/>
      <c r="MGS8" s="24"/>
      <c r="MGT8" s="24"/>
      <c r="MGU8" s="24"/>
      <c r="MGV8" s="24"/>
      <c r="MGW8" s="24"/>
      <c r="MGX8" s="24"/>
      <c r="MGY8" s="24"/>
      <c r="MGZ8" s="24"/>
      <c r="MHA8" s="24"/>
      <c r="MHB8" s="24"/>
      <c r="MHC8" s="24"/>
      <c r="MHD8" s="24"/>
      <c r="MHE8" s="24"/>
      <c r="MHF8" s="24"/>
      <c r="MHG8" s="24"/>
      <c r="MHH8" s="24"/>
      <c r="MHI8" s="24"/>
      <c r="MHJ8" s="24"/>
      <c r="MHK8" s="24"/>
      <c r="MHL8" s="24"/>
      <c r="MHM8" s="24"/>
      <c r="MHN8" s="24"/>
      <c r="MHO8" s="24"/>
      <c r="MHP8" s="24"/>
      <c r="MHQ8" s="24"/>
      <c r="MHR8" s="24"/>
      <c r="MHS8" s="24"/>
      <c r="MHT8" s="24"/>
      <c r="MHU8" s="24"/>
      <c r="MHV8" s="24"/>
      <c r="MHW8" s="24"/>
      <c r="MHX8" s="24"/>
      <c r="MHY8" s="24"/>
      <c r="MHZ8" s="24"/>
      <c r="MIA8" s="24"/>
      <c r="MIB8" s="24"/>
      <c r="MIC8" s="24"/>
      <c r="MID8" s="24"/>
      <c r="MIE8" s="24"/>
      <c r="MIF8" s="24"/>
      <c r="MIG8" s="24"/>
      <c r="MIH8" s="24"/>
      <c r="MII8" s="24"/>
      <c r="MIJ8" s="24"/>
      <c r="MIK8" s="24"/>
      <c r="MIL8" s="24"/>
      <c r="MIM8" s="24"/>
      <c r="MIN8" s="24"/>
      <c r="MIO8" s="24"/>
      <c r="MIP8" s="24"/>
      <c r="MIQ8" s="24"/>
      <c r="MIR8" s="24"/>
      <c r="MIS8" s="24"/>
      <c r="MIT8" s="24"/>
      <c r="MIU8" s="24"/>
      <c r="MIV8" s="24"/>
      <c r="MIW8" s="24"/>
      <c r="MIX8" s="24"/>
      <c r="MIY8" s="24"/>
      <c r="MIZ8" s="24"/>
      <c r="MJA8" s="24"/>
      <c r="MJB8" s="24"/>
      <c r="MJC8" s="24"/>
      <c r="MJD8" s="24"/>
      <c r="MJE8" s="24"/>
      <c r="MJF8" s="24"/>
      <c r="MJG8" s="24"/>
      <c r="MJH8" s="24"/>
      <c r="MJI8" s="24"/>
      <c r="MJJ8" s="24"/>
      <c r="MJK8" s="24"/>
      <c r="MJL8" s="24"/>
      <c r="MJM8" s="24"/>
      <c r="MJN8" s="24"/>
      <c r="MJO8" s="24"/>
      <c r="MJP8" s="24"/>
      <c r="MJQ8" s="24"/>
      <c r="MJR8" s="24"/>
      <c r="MJS8" s="24"/>
      <c r="MJT8" s="24"/>
      <c r="MJU8" s="24"/>
      <c r="MJV8" s="24"/>
      <c r="MJW8" s="24"/>
      <c r="MJX8" s="24"/>
      <c r="MJY8" s="24"/>
      <c r="MJZ8" s="24"/>
      <c r="MKA8" s="24"/>
      <c r="MKB8" s="24"/>
      <c r="MKC8" s="24"/>
      <c r="MKD8" s="24"/>
      <c r="MKE8" s="24"/>
      <c r="MKF8" s="24"/>
      <c r="MKG8" s="24"/>
      <c r="MKH8" s="24"/>
      <c r="MKI8" s="24"/>
      <c r="MKJ8" s="24"/>
      <c r="MKK8" s="24"/>
      <c r="MKL8" s="24"/>
      <c r="MKM8" s="24"/>
      <c r="MKN8" s="24"/>
      <c r="MKO8" s="24"/>
      <c r="MKP8" s="24"/>
      <c r="MKQ8" s="24"/>
      <c r="MKR8" s="24"/>
      <c r="MKS8" s="24"/>
      <c r="MKT8" s="24"/>
      <c r="MKU8" s="24"/>
      <c r="MKV8" s="24"/>
      <c r="MKW8" s="24"/>
      <c r="MKX8" s="24"/>
      <c r="MKY8" s="24"/>
      <c r="MKZ8" s="24"/>
      <c r="MLA8" s="24"/>
      <c r="MLB8" s="24"/>
      <c r="MLC8" s="24"/>
      <c r="MLD8" s="24"/>
      <c r="MLE8" s="24"/>
      <c r="MLF8" s="24"/>
      <c r="MLG8" s="24"/>
      <c r="MLH8" s="24"/>
      <c r="MLI8" s="24"/>
      <c r="MLJ8" s="24"/>
      <c r="MLK8" s="24"/>
      <c r="MLL8" s="24"/>
      <c r="MLM8" s="24"/>
      <c r="MLN8" s="24"/>
      <c r="MLO8" s="24"/>
      <c r="MLP8" s="24"/>
      <c r="MLQ8" s="24"/>
      <c r="MLR8" s="24"/>
      <c r="MLS8" s="24"/>
      <c r="MLT8" s="24"/>
      <c r="MLU8" s="24"/>
      <c r="MLV8" s="24"/>
      <c r="MLW8" s="24"/>
      <c r="MLX8" s="24"/>
      <c r="MLY8" s="24"/>
      <c r="MLZ8" s="24"/>
      <c r="MMA8" s="24"/>
      <c r="MMB8" s="24"/>
      <c r="MMC8" s="24"/>
      <c r="MMD8" s="24"/>
      <c r="MME8" s="24"/>
      <c r="MMF8" s="24"/>
      <c r="MMG8" s="24"/>
      <c r="MMH8" s="24"/>
      <c r="MMI8" s="24"/>
      <c r="MMJ8" s="24"/>
      <c r="MMK8" s="24"/>
      <c r="MML8" s="24"/>
      <c r="MMM8" s="24"/>
      <c r="MMN8" s="24"/>
      <c r="MMO8" s="24"/>
      <c r="MMP8" s="24"/>
      <c r="MMQ8" s="24"/>
      <c r="MMR8" s="24"/>
      <c r="MMS8" s="24"/>
      <c r="MMT8" s="24"/>
      <c r="MMU8" s="24"/>
      <c r="MMV8" s="24"/>
      <c r="MMW8" s="24"/>
      <c r="MMX8" s="24"/>
      <c r="MMY8" s="24"/>
      <c r="MMZ8" s="24"/>
      <c r="MNA8" s="24"/>
      <c r="MNB8" s="24"/>
      <c r="MNC8" s="24"/>
      <c r="MND8" s="24"/>
      <c r="MNE8" s="24"/>
      <c r="MNF8" s="24"/>
      <c r="MNG8" s="24"/>
      <c r="MNH8" s="24"/>
      <c r="MNI8" s="24"/>
      <c r="MNJ8" s="24"/>
      <c r="MNK8" s="24"/>
      <c r="MNL8" s="24"/>
      <c r="MNM8" s="24"/>
      <c r="MNN8" s="24"/>
      <c r="MNO8" s="24"/>
      <c r="MNP8" s="24"/>
      <c r="MNQ8" s="24"/>
      <c r="MNR8" s="24"/>
      <c r="MNS8" s="24"/>
      <c r="MNT8" s="24"/>
      <c r="MNU8" s="24"/>
      <c r="MNV8" s="24"/>
      <c r="MNW8" s="24"/>
      <c r="MNX8" s="24"/>
      <c r="MNY8" s="24"/>
      <c r="MNZ8" s="24"/>
      <c r="MOA8" s="24"/>
      <c r="MOB8" s="24"/>
      <c r="MOC8" s="24"/>
      <c r="MOD8" s="24"/>
      <c r="MOE8" s="24"/>
      <c r="MOF8" s="24"/>
      <c r="MOG8" s="24"/>
      <c r="MOH8" s="24"/>
      <c r="MOI8" s="24"/>
      <c r="MOJ8" s="24"/>
      <c r="MOK8" s="24"/>
      <c r="MOL8" s="24"/>
      <c r="MOM8" s="24"/>
      <c r="MON8" s="24"/>
      <c r="MOO8" s="24"/>
      <c r="MOP8" s="24"/>
      <c r="MOQ8" s="24"/>
      <c r="MOR8" s="24"/>
      <c r="MOS8" s="24"/>
      <c r="MOT8" s="24"/>
      <c r="MOU8" s="24"/>
      <c r="MOV8" s="24"/>
      <c r="MOW8" s="24"/>
      <c r="MOX8" s="24"/>
      <c r="MOY8" s="24"/>
      <c r="MOZ8" s="24"/>
      <c r="MPA8" s="24"/>
      <c r="MPB8" s="24"/>
      <c r="MPC8" s="24"/>
      <c r="MPD8" s="24"/>
      <c r="MPE8" s="24"/>
      <c r="MPF8" s="24"/>
      <c r="MPG8" s="24"/>
      <c r="MPH8" s="24"/>
      <c r="MPI8" s="24"/>
      <c r="MPJ8" s="24"/>
      <c r="MPK8" s="24"/>
      <c r="MPL8" s="24"/>
      <c r="MPM8" s="24"/>
      <c r="MPN8" s="24"/>
      <c r="MPO8" s="24"/>
      <c r="MPP8" s="24"/>
      <c r="MPQ8" s="24"/>
      <c r="MPR8" s="24"/>
      <c r="MPS8" s="24"/>
      <c r="MPT8" s="24"/>
      <c r="MPU8" s="24"/>
      <c r="MPV8" s="24"/>
      <c r="MPW8" s="24"/>
      <c r="MPX8" s="24"/>
      <c r="MPY8" s="24"/>
      <c r="MPZ8" s="24"/>
      <c r="MQA8" s="24"/>
      <c r="MQB8" s="24"/>
      <c r="MQC8" s="24"/>
      <c r="MQD8" s="24"/>
      <c r="MQE8" s="24"/>
      <c r="MQF8" s="24"/>
      <c r="MQG8" s="24"/>
      <c r="MQH8" s="24"/>
      <c r="MQI8" s="24"/>
      <c r="MQJ8" s="24"/>
      <c r="MQK8" s="24"/>
      <c r="MQL8" s="24"/>
      <c r="MQM8" s="24"/>
      <c r="MQN8" s="24"/>
      <c r="MQO8" s="24"/>
      <c r="MQP8" s="24"/>
      <c r="MQQ8" s="24"/>
      <c r="MQR8" s="24"/>
      <c r="MQS8" s="24"/>
      <c r="MQT8" s="24"/>
      <c r="MQU8" s="24"/>
      <c r="MQV8" s="24"/>
      <c r="MQW8" s="24"/>
      <c r="MQX8" s="24"/>
      <c r="MQY8" s="24"/>
      <c r="MQZ8" s="24"/>
      <c r="MRA8" s="24"/>
      <c r="MRB8" s="24"/>
      <c r="MRC8" s="24"/>
      <c r="MRD8" s="24"/>
      <c r="MRE8" s="24"/>
      <c r="MRF8" s="24"/>
      <c r="MRG8" s="24"/>
      <c r="MRH8" s="24"/>
      <c r="MRI8" s="24"/>
      <c r="MRJ8" s="24"/>
      <c r="MRK8" s="24"/>
      <c r="MRL8" s="24"/>
      <c r="MRM8" s="24"/>
      <c r="MRN8" s="24"/>
      <c r="MRO8" s="24"/>
      <c r="MRP8" s="24"/>
      <c r="MRQ8" s="24"/>
      <c r="MRR8" s="24"/>
      <c r="MRS8" s="24"/>
      <c r="MRT8" s="24"/>
      <c r="MRU8" s="24"/>
      <c r="MRV8" s="24"/>
      <c r="MRW8" s="24"/>
      <c r="MRX8" s="24"/>
      <c r="MRY8" s="24"/>
      <c r="MRZ8" s="24"/>
      <c r="MSA8" s="24"/>
      <c r="MSB8" s="24"/>
      <c r="MSC8" s="24"/>
      <c r="MSD8" s="24"/>
      <c r="MSE8" s="24"/>
      <c r="MSF8" s="24"/>
      <c r="MSG8" s="24"/>
      <c r="MSH8" s="24"/>
      <c r="MSI8" s="24"/>
      <c r="MSJ8" s="24"/>
      <c r="MSK8" s="24"/>
      <c r="MSL8" s="24"/>
      <c r="MSM8" s="24"/>
      <c r="MSN8" s="24"/>
      <c r="MSO8" s="24"/>
      <c r="MSP8" s="24"/>
      <c r="MSQ8" s="24"/>
      <c r="MSR8" s="24"/>
      <c r="MSS8" s="24"/>
      <c r="MST8" s="24"/>
      <c r="MSU8" s="24"/>
      <c r="MSV8" s="24"/>
      <c r="MSW8" s="24"/>
      <c r="MSX8" s="24"/>
      <c r="MSY8" s="24"/>
      <c r="MSZ8" s="24"/>
      <c r="MTA8" s="24"/>
      <c r="MTB8" s="24"/>
      <c r="MTC8" s="24"/>
      <c r="MTD8" s="24"/>
      <c r="MTE8" s="24"/>
      <c r="MTF8" s="24"/>
      <c r="MTG8" s="24"/>
      <c r="MTH8" s="24"/>
      <c r="MTI8" s="24"/>
      <c r="MTJ8" s="24"/>
      <c r="MTK8" s="24"/>
      <c r="MTL8" s="24"/>
      <c r="MTM8" s="24"/>
      <c r="MTN8" s="24"/>
      <c r="MTO8" s="24"/>
      <c r="MTP8" s="24"/>
      <c r="MTQ8" s="24"/>
      <c r="MTR8" s="24"/>
      <c r="MTS8" s="24"/>
      <c r="MTT8" s="24"/>
      <c r="MTU8" s="24"/>
      <c r="MTV8" s="24"/>
      <c r="MTW8" s="24"/>
      <c r="MTX8" s="24"/>
      <c r="MTY8" s="24"/>
      <c r="MTZ8" s="24"/>
      <c r="MUA8" s="24"/>
      <c r="MUB8" s="24"/>
      <c r="MUC8" s="24"/>
      <c r="MUD8" s="24"/>
      <c r="MUE8" s="24"/>
      <c r="MUF8" s="24"/>
      <c r="MUG8" s="24"/>
      <c r="MUH8" s="24"/>
      <c r="MUI8" s="24"/>
      <c r="MUJ8" s="24"/>
      <c r="MUK8" s="24"/>
      <c r="MUL8" s="24"/>
      <c r="MUM8" s="24"/>
      <c r="MUN8" s="24"/>
      <c r="MUO8" s="24"/>
      <c r="MUP8" s="24"/>
      <c r="MUQ8" s="24"/>
      <c r="MUR8" s="24"/>
      <c r="MUS8" s="24"/>
      <c r="MUT8" s="24"/>
      <c r="MUU8" s="24"/>
      <c r="MUV8" s="24"/>
      <c r="MUW8" s="24"/>
      <c r="MUX8" s="24"/>
      <c r="MUY8" s="24"/>
      <c r="MUZ8" s="24"/>
      <c r="MVA8" s="24"/>
      <c r="MVB8" s="24"/>
      <c r="MVC8" s="24"/>
      <c r="MVD8" s="24"/>
      <c r="MVE8" s="24"/>
      <c r="MVF8" s="24"/>
      <c r="MVG8" s="24"/>
      <c r="MVH8" s="24"/>
      <c r="MVI8" s="24"/>
      <c r="MVJ8" s="24"/>
      <c r="MVK8" s="24"/>
      <c r="MVL8" s="24"/>
      <c r="MVM8" s="24"/>
      <c r="MVN8" s="24"/>
      <c r="MVO8" s="24"/>
      <c r="MVP8" s="24"/>
      <c r="MVQ8" s="24"/>
      <c r="MVR8" s="24"/>
      <c r="MVS8" s="24"/>
      <c r="MVT8" s="24"/>
      <c r="MVU8" s="24"/>
      <c r="MVV8" s="24"/>
      <c r="MVW8" s="24"/>
      <c r="MVX8" s="24"/>
      <c r="MVY8" s="24"/>
      <c r="MVZ8" s="24"/>
      <c r="MWA8" s="24"/>
      <c r="MWB8" s="24"/>
      <c r="MWC8" s="24"/>
      <c r="MWD8" s="24"/>
      <c r="MWE8" s="24"/>
      <c r="MWF8" s="24"/>
      <c r="MWG8" s="24"/>
      <c r="MWH8" s="24"/>
      <c r="MWI8" s="24"/>
      <c r="MWJ8" s="24"/>
      <c r="MWK8" s="24"/>
      <c r="MWL8" s="24"/>
      <c r="MWM8" s="24"/>
      <c r="MWN8" s="24"/>
      <c r="MWO8" s="24"/>
      <c r="MWP8" s="24"/>
      <c r="MWQ8" s="24"/>
      <c r="MWR8" s="24"/>
      <c r="MWS8" s="24"/>
      <c r="MWT8" s="24"/>
      <c r="MWU8" s="24"/>
      <c r="MWV8" s="24"/>
      <c r="MWW8" s="24"/>
      <c r="MWX8" s="24"/>
      <c r="MWY8" s="24"/>
      <c r="MWZ8" s="24"/>
      <c r="MXA8" s="24"/>
      <c r="MXB8" s="24"/>
      <c r="MXC8" s="24"/>
      <c r="MXD8" s="24"/>
      <c r="MXE8" s="24"/>
      <c r="MXF8" s="24"/>
      <c r="MXG8" s="24"/>
      <c r="MXH8" s="24"/>
      <c r="MXI8" s="24"/>
      <c r="MXJ8" s="24"/>
      <c r="MXK8" s="24"/>
      <c r="MXL8" s="24"/>
      <c r="MXM8" s="24"/>
      <c r="MXN8" s="24"/>
      <c r="MXO8" s="24"/>
      <c r="MXP8" s="24"/>
      <c r="MXQ8" s="24"/>
      <c r="MXR8" s="24"/>
      <c r="MXS8" s="24"/>
      <c r="MXT8" s="24"/>
      <c r="MXU8" s="24"/>
      <c r="MXV8" s="24"/>
      <c r="MXW8" s="24"/>
      <c r="MXX8" s="24"/>
      <c r="MXY8" s="24"/>
      <c r="MXZ8" s="24"/>
      <c r="MYA8" s="24"/>
      <c r="MYB8" s="24"/>
      <c r="MYC8" s="24"/>
      <c r="MYD8" s="24"/>
      <c r="MYE8" s="24"/>
      <c r="MYF8" s="24"/>
      <c r="MYG8" s="24"/>
      <c r="MYH8" s="24"/>
      <c r="MYI8" s="24"/>
      <c r="MYJ8" s="24"/>
      <c r="MYK8" s="24"/>
      <c r="MYL8" s="24"/>
      <c r="MYM8" s="24"/>
      <c r="MYN8" s="24"/>
      <c r="MYO8" s="24"/>
      <c r="MYP8" s="24"/>
      <c r="MYQ8" s="24"/>
      <c r="MYR8" s="24"/>
      <c r="MYS8" s="24"/>
      <c r="MYT8" s="24"/>
      <c r="MYU8" s="24"/>
      <c r="MYV8" s="24"/>
      <c r="MYW8" s="24"/>
      <c r="MYX8" s="24"/>
      <c r="MYY8" s="24"/>
      <c r="MYZ8" s="24"/>
      <c r="MZA8" s="24"/>
      <c r="MZB8" s="24"/>
      <c r="MZC8" s="24"/>
      <c r="MZD8" s="24"/>
      <c r="MZE8" s="24"/>
      <c r="MZF8" s="24"/>
      <c r="MZG8" s="24"/>
      <c r="MZH8" s="24"/>
      <c r="MZI8" s="24"/>
      <c r="MZJ8" s="24"/>
      <c r="MZK8" s="24"/>
      <c r="MZL8" s="24"/>
      <c r="MZM8" s="24"/>
      <c r="MZN8" s="24"/>
      <c r="MZO8" s="24"/>
      <c r="MZP8" s="24"/>
      <c r="MZQ8" s="24"/>
      <c r="MZR8" s="24"/>
      <c r="MZS8" s="24"/>
      <c r="MZT8" s="24"/>
      <c r="MZU8" s="24"/>
      <c r="MZV8" s="24"/>
      <c r="MZW8" s="24"/>
      <c r="MZX8" s="24"/>
      <c r="MZY8" s="24"/>
      <c r="MZZ8" s="24"/>
      <c r="NAA8" s="24"/>
      <c r="NAB8" s="24"/>
      <c r="NAC8" s="24"/>
      <c r="NAD8" s="24"/>
      <c r="NAE8" s="24"/>
      <c r="NAF8" s="24"/>
      <c r="NAG8" s="24"/>
      <c r="NAH8" s="24"/>
      <c r="NAI8" s="24"/>
      <c r="NAJ8" s="24"/>
      <c r="NAK8" s="24"/>
      <c r="NAL8" s="24"/>
      <c r="NAM8" s="24"/>
      <c r="NAN8" s="24"/>
      <c r="NAO8" s="24"/>
      <c r="NAP8" s="24"/>
      <c r="NAQ8" s="24"/>
      <c r="NAR8" s="24"/>
      <c r="NAS8" s="24"/>
      <c r="NAT8" s="24"/>
      <c r="NAU8" s="24"/>
      <c r="NAV8" s="24"/>
      <c r="NAW8" s="24"/>
      <c r="NAX8" s="24"/>
      <c r="NAY8" s="24"/>
      <c r="NAZ8" s="24"/>
      <c r="NBA8" s="24"/>
      <c r="NBB8" s="24"/>
      <c r="NBC8" s="24"/>
      <c r="NBD8" s="24"/>
      <c r="NBE8" s="24"/>
      <c r="NBF8" s="24"/>
      <c r="NBG8" s="24"/>
      <c r="NBH8" s="24"/>
      <c r="NBI8" s="24"/>
      <c r="NBJ8" s="24"/>
      <c r="NBK8" s="24"/>
      <c r="NBL8" s="24"/>
      <c r="NBM8" s="24"/>
      <c r="NBN8" s="24"/>
      <c r="NBO8" s="24"/>
      <c r="NBP8" s="24"/>
      <c r="NBQ8" s="24"/>
      <c r="NBR8" s="24"/>
      <c r="NBS8" s="24"/>
      <c r="NBT8" s="24"/>
      <c r="NBU8" s="24"/>
      <c r="NBV8" s="24"/>
      <c r="NBW8" s="24"/>
      <c r="NBX8" s="24"/>
      <c r="NBY8" s="24"/>
      <c r="NBZ8" s="24"/>
      <c r="NCA8" s="24"/>
      <c r="NCB8" s="24"/>
      <c r="NCC8" s="24"/>
      <c r="NCD8" s="24"/>
      <c r="NCE8" s="24"/>
      <c r="NCF8" s="24"/>
      <c r="NCG8" s="24"/>
      <c r="NCH8" s="24"/>
      <c r="NCI8" s="24"/>
      <c r="NCJ8" s="24"/>
      <c r="NCK8" s="24"/>
      <c r="NCL8" s="24"/>
      <c r="NCM8" s="24"/>
      <c r="NCN8" s="24"/>
      <c r="NCO8" s="24"/>
      <c r="NCP8" s="24"/>
      <c r="NCQ8" s="24"/>
      <c r="NCR8" s="24"/>
      <c r="NCS8" s="24"/>
      <c r="NCT8" s="24"/>
      <c r="NCU8" s="24"/>
      <c r="NCV8" s="24"/>
      <c r="NCW8" s="24"/>
      <c r="NCX8" s="24"/>
      <c r="NCY8" s="24"/>
      <c r="NCZ8" s="24"/>
      <c r="NDA8" s="24"/>
      <c r="NDB8" s="24"/>
      <c r="NDC8" s="24"/>
      <c r="NDD8" s="24"/>
      <c r="NDE8" s="24"/>
      <c r="NDF8" s="24"/>
      <c r="NDG8" s="24"/>
      <c r="NDH8" s="24"/>
      <c r="NDI8" s="24"/>
      <c r="NDJ8" s="24"/>
      <c r="NDK8" s="24"/>
      <c r="NDL8" s="24"/>
      <c r="NDM8" s="24"/>
      <c r="NDN8" s="24"/>
      <c r="NDO8" s="24"/>
      <c r="NDP8" s="24"/>
      <c r="NDQ8" s="24"/>
      <c r="NDR8" s="24"/>
      <c r="NDS8" s="24"/>
      <c r="NDT8" s="24"/>
      <c r="NDU8" s="24"/>
      <c r="NDV8" s="24"/>
      <c r="NDW8" s="24"/>
      <c r="NDX8" s="24"/>
      <c r="NDY8" s="24"/>
      <c r="NDZ8" s="24"/>
      <c r="NEA8" s="24"/>
      <c r="NEB8" s="24"/>
      <c r="NEC8" s="24"/>
      <c r="NED8" s="24"/>
      <c r="NEE8" s="24"/>
      <c r="NEF8" s="24"/>
      <c r="NEG8" s="24"/>
      <c r="NEH8" s="24"/>
      <c r="NEI8" s="24"/>
      <c r="NEJ8" s="24"/>
      <c r="NEK8" s="24"/>
      <c r="NEL8" s="24"/>
      <c r="NEM8" s="24"/>
      <c r="NEN8" s="24"/>
      <c r="NEO8" s="24"/>
      <c r="NEP8" s="24"/>
      <c r="NEQ8" s="24"/>
      <c r="NER8" s="24"/>
      <c r="NES8" s="24"/>
      <c r="NET8" s="24"/>
      <c r="NEU8" s="24"/>
      <c r="NEV8" s="24"/>
      <c r="NEW8" s="24"/>
      <c r="NEX8" s="24"/>
      <c r="NEY8" s="24"/>
      <c r="NEZ8" s="24"/>
      <c r="NFA8" s="24"/>
      <c r="NFB8" s="24"/>
      <c r="NFC8" s="24"/>
      <c r="NFD8" s="24"/>
      <c r="NFE8" s="24"/>
      <c r="NFF8" s="24"/>
      <c r="NFG8" s="24"/>
      <c r="NFH8" s="24"/>
      <c r="NFI8" s="24"/>
      <c r="NFJ8" s="24"/>
      <c r="NFK8" s="24"/>
      <c r="NFL8" s="24"/>
      <c r="NFM8" s="24"/>
      <c r="NFN8" s="24"/>
      <c r="NFO8" s="24"/>
      <c r="NFP8" s="24"/>
      <c r="NFQ8" s="24"/>
      <c r="NFR8" s="24"/>
      <c r="NFS8" s="24"/>
      <c r="NFT8" s="24"/>
      <c r="NFU8" s="24"/>
      <c r="NFV8" s="24"/>
      <c r="NFW8" s="24"/>
      <c r="NFX8" s="24"/>
      <c r="NFY8" s="24"/>
      <c r="NFZ8" s="24"/>
      <c r="NGA8" s="24"/>
      <c r="NGB8" s="24"/>
      <c r="NGC8" s="24"/>
      <c r="NGD8" s="24"/>
      <c r="NGE8" s="24"/>
      <c r="NGF8" s="24"/>
      <c r="NGG8" s="24"/>
      <c r="NGH8" s="24"/>
      <c r="NGI8" s="24"/>
      <c r="NGJ8" s="24"/>
      <c r="NGK8" s="24"/>
      <c r="NGL8" s="24"/>
      <c r="NGM8" s="24"/>
      <c r="NGN8" s="24"/>
      <c r="NGO8" s="24"/>
      <c r="NGP8" s="24"/>
      <c r="NGQ8" s="24"/>
      <c r="NGR8" s="24"/>
      <c r="NGS8" s="24"/>
      <c r="NGT8" s="24"/>
      <c r="NGU8" s="24"/>
      <c r="NGV8" s="24"/>
      <c r="NGW8" s="24"/>
      <c r="NGX8" s="24"/>
      <c r="NGY8" s="24"/>
      <c r="NGZ8" s="24"/>
      <c r="NHA8" s="24"/>
      <c r="NHB8" s="24"/>
      <c r="NHC8" s="24"/>
      <c r="NHD8" s="24"/>
      <c r="NHE8" s="24"/>
      <c r="NHF8" s="24"/>
      <c r="NHG8" s="24"/>
      <c r="NHH8" s="24"/>
      <c r="NHI8" s="24"/>
      <c r="NHJ8" s="24"/>
      <c r="NHK8" s="24"/>
      <c r="NHL8" s="24"/>
      <c r="NHM8" s="24"/>
      <c r="NHN8" s="24"/>
      <c r="NHO8" s="24"/>
      <c r="NHP8" s="24"/>
      <c r="NHQ8" s="24"/>
      <c r="NHR8" s="24"/>
      <c r="NHS8" s="24"/>
      <c r="NHT8" s="24"/>
      <c r="NHU8" s="24"/>
      <c r="NHV8" s="24"/>
      <c r="NHW8" s="24"/>
      <c r="NHX8" s="24"/>
      <c r="NHY8" s="24"/>
      <c r="NHZ8" s="24"/>
      <c r="NIA8" s="24"/>
      <c r="NIB8" s="24"/>
      <c r="NIC8" s="24"/>
      <c r="NID8" s="24"/>
      <c r="NIE8" s="24"/>
      <c r="NIF8" s="24"/>
      <c r="NIG8" s="24"/>
      <c r="NIH8" s="24"/>
      <c r="NII8" s="24"/>
      <c r="NIJ8" s="24"/>
      <c r="NIK8" s="24"/>
      <c r="NIL8" s="24"/>
      <c r="NIM8" s="24"/>
      <c r="NIN8" s="24"/>
      <c r="NIO8" s="24"/>
      <c r="NIP8" s="24"/>
      <c r="NIQ8" s="24"/>
      <c r="NIR8" s="24"/>
      <c r="NIS8" s="24"/>
      <c r="NIT8" s="24"/>
      <c r="NIU8" s="24"/>
      <c r="NIV8" s="24"/>
      <c r="NIW8" s="24"/>
      <c r="NIX8" s="24"/>
      <c r="NIY8" s="24"/>
      <c r="NIZ8" s="24"/>
      <c r="NJA8" s="24"/>
      <c r="NJB8" s="24"/>
      <c r="NJC8" s="24"/>
      <c r="NJD8" s="24"/>
      <c r="NJE8" s="24"/>
      <c r="NJF8" s="24"/>
      <c r="NJG8" s="24"/>
      <c r="NJH8" s="24"/>
      <c r="NJI8" s="24"/>
      <c r="NJJ8" s="24"/>
      <c r="NJK8" s="24"/>
      <c r="NJL8" s="24"/>
      <c r="NJM8" s="24"/>
      <c r="NJN8" s="24"/>
      <c r="NJO8" s="24"/>
      <c r="NJP8" s="24"/>
      <c r="NJQ8" s="24"/>
      <c r="NJR8" s="24"/>
      <c r="NJS8" s="24"/>
      <c r="NJT8" s="24"/>
      <c r="NJU8" s="24"/>
      <c r="NJV8" s="24"/>
      <c r="NJW8" s="24"/>
      <c r="NJX8" s="24"/>
      <c r="NJY8" s="24"/>
      <c r="NJZ8" s="24"/>
      <c r="NKA8" s="24"/>
      <c r="NKB8" s="24"/>
      <c r="NKC8" s="24"/>
      <c r="NKD8" s="24"/>
      <c r="NKE8" s="24"/>
      <c r="NKF8" s="24"/>
      <c r="NKG8" s="24"/>
      <c r="NKH8" s="24"/>
      <c r="NKI8" s="24"/>
      <c r="NKJ8" s="24"/>
      <c r="NKK8" s="24"/>
      <c r="NKL8" s="24"/>
      <c r="NKM8" s="24"/>
      <c r="NKN8" s="24"/>
      <c r="NKO8" s="24"/>
      <c r="NKP8" s="24"/>
      <c r="NKQ8" s="24"/>
      <c r="NKR8" s="24"/>
      <c r="NKS8" s="24"/>
      <c r="NKT8" s="24"/>
      <c r="NKU8" s="24"/>
      <c r="NKV8" s="24"/>
      <c r="NKW8" s="24"/>
      <c r="NKX8" s="24"/>
      <c r="NKY8" s="24"/>
      <c r="NKZ8" s="24"/>
      <c r="NLA8" s="24"/>
      <c r="NLB8" s="24"/>
      <c r="NLC8" s="24"/>
      <c r="NLD8" s="24"/>
      <c r="NLE8" s="24"/>
      <c r="NLF8" s="24"/>
      <c r="NLG8" s="24"/>
      <c r="NLH8" s="24"/>
      <c r="NLI8" s="24"/>
      <c r="NLJ8" s="24"/>
      <c r="NLK8" s="24"/>
      <c r="NLL8" s="24"/>
      <c r="NLM8" s="24"/>
      <c r="NLN8" s="24"/>
      <c r="NLO8" s="24"/>
      <c r="NLP8" s="24"/>
      <c r="NLQ8" s="24"/>
      <c r="NLR8" s="24"/>
      <c r="NLS8" s="24"/>
      <c r="NLT8" s="24"/>
      <c r="NLU8" s="24"/>
      <c r="NLV8" s="24"/>
      <c r="NLW8" s="24"/>
      <c r="NLX8" s="24"/>
      <c r="NLY8" s="24"/>
      <c r="NLZ8" s="24"/>
      <c r="NMA8" s="24"/>
      <c r="NMB8" s="24"/>
      <c r="NMC8" s="24"/>
      <c r="NMD8" s="24"/>
      <c r="NME8" s="24"/>
      <c r="NMF8" s="24"/>
      <c r="NMG8" s="24"/>
      <c r="NMH8" s="24"/>
      <c r="NMI8" s="24"/>
      <c r="NMJ8" s="24"/>
      <c r="NMK8" s="24"/>
      <c r="NML8" s="24"/>
      <c r="NMM8" s="24"/>
      <c r="NMN8" s="24"/>
      <c r="NMO8" s="24"/>
      <c r="NMP8" s="24"/>
      <c r="NMQ8" s="24"/>
      <c r="NMR8" s="24"/>
      <c r="NMS8" s="24"/>
      <c r="NMT8" s="24"/>
      <c r="NMU8" s="24"/>
      <c r="NMV8" s="24"/>
      <c r="NMW8" s="24"/>
      <c r="NMX8" s="24"/>
      <c r="NMY8" s="24"/>
      <c r="NMZ8" s="24"/>
      <c r="NNA8" s="24"/>
      <c r="NNB8" s="24"/>
      <c r="NNC8" s="24"/>
      <c r="NND8" s="24"/>
      <c r="NNE8" s="24"/>
      <c r="NNF8" s="24"/>
      <c r="NNG8" s="24"/>
      <c r="NNH8" s="24"/>
      <c r="NNI8" s="24"/>
      <c r="NNJ8" s="24"/>
      <c r="NNK8" s="24"/>
      <c r="NNL8" s="24"/>
      <c r="NNM8" s="24"/>
      <c r="NNN8" s="24"/>
      <c r="NNO8" s="24"/>
      <c r="NNP8" s="24"/>
      <c r="NNQ8" s="24"/>
      <c r="NNR8" s="24"/>
      <c r="NNS8" s="24"/>
      <c r="NNT8" s="24"/>
      <c r="NNU8" s="24"/>
      <c r="NNV8" s="24"/>
      <c r="NNW8" s="24"/>
      <c r="NNX8" s="24"/>
      <c r="NNY8" s="24"/>
      <c r="NNZ8" s="24"/>
      <c r="NOA8" s="24"/>
      <c r="NOB8" s="24"/>
      <c r="NOC8" s="24"/>
      <c r="NOD8" s="24"/>
      <c r="NOE8" s="24"/>
      <c r="NOF8" s="24"/>
      <c r="NOG8" s="24"/>
      <c r="NOH8" s="24"/>
      <c r="NOI8" s="24"/>
      <c r="NOJ8" s="24"/>
      <c r="NOK8" s="24"/>
      <c r="NOL8" s="24"/>
      <c r="NOM8" s="24"/>
      <c r="NON8" s="24"/>
      <c r="NOO8" s="24"/>
      <c r="NOP8" s="24"/>
      <c r="NOQ8" s="24"/>
      <c r="NOR8" s="24"/>
      <c r="NOS8" s="24"/>
      <c r="NOT8" s="24"/>
      <c r="NOU8" s="24"/>
      <c r="NOV8" s="24"/>
      <c r="NOW8" s="24"/>
      <c r="NOX8" s="24"/>
      <c r="NOY8" s="24"/>
      <c r="NOZ8" s="24"/>
      <c r="NPA8" s="24"/>
      <c r="NPB8" s="24"/>
      <c r="NPC8" s="24"/>
      <c r="NPD8" s="24"/>
      <c r="NPE8" s="24"/>
      <c r="NPF8" s="24"/>
      <c r="NPG8" s="24"/>
      <c r="NPH8" s="24"/>
      <c r="NPI8" s="24"/>
      <c r="NPJ8" s="24"/>
      <c r="NPK8" s="24"/>
      <c r="NPL8" s="24"/>
      <c r="NPM8" s="24"/>
      <c r="NPN8" s="24"/>
      <c r="NPO8" s="24"/>
      <c r="NPP8" s="24"/>
      <c r="NPQ8" s="24"/>
      <c r="NPR8" s="24"/>
      <c r="NPS8" s="24"/>
      <c r="NPT8" s="24"/>
      <c r="NPU8" s="24"/>
      <c r="NPV8" s="24"/>
      <c r="NPW8" s="24"/>
      <c r="NPX8" s="24"/>
      <c r="NPY8" s="24"/>
      <c r="NPZ8" s="24"/>
      <c r="NQA8" s="24"/>
      <c r="NQB8" s="24"/>
      <c r="NQC8" s="24"/>
      <c r="NQD8" s="24"/>
      <c r="NQE8" s="24"/>
      <c r="NQF8" s="24"/>
      <c r="NQG8" s="24"/>
      <c r="NQH8" s="24"/>
      <c r="NQI8" s="24"/>
      <c r="NQJ8" s="24"/>
      <c r="NQK8" s="24"/>
      <c r="NQL8" s="24"/>
      <c r="NQM8" s="24"/>
      <c r="NQN8" s="24"/>
      <c r="NQO8" s="24"/>
      <c r="NQP8" s="24"/>
      <c r="NQQ8" s="24"/>
      <c r="NQR8" s="24"/>
      <c r="NQS8" s="24"/>
      <c r="NQT8" s="24"/>
      <c r="NQU8" s="24"/>
      <c r="NQV8" s="24"/>
      <c r="NQW8" s="24"/>
      <c r="NQX8" s="24"/>
      <c r="NQY8" s="24"/>
      <c r="NQZ8" s="24"/>
      <c r="NRA8" s="24"/>
      <c r="NRB8" s="24"/>
      <c r="NRC8" s="24"/>
      <c r="NRD8" s="24"/>
      <c r="NRE8" s="24"/>
      <c r="NRF8" s="24"/>
      <c r="NRG8" s="24"/>
      <c r="NRH8" s="24"/>
      <c r="NRI8" s="24"/>
      <c r="NRJ8" s="24"/>
      <c r="NRK8" s="24"/>
      <c r="NRL8" s="24"/>
      <c r="NRM8" s="24"/>
      <c r="NRN8" s="24"/>
      <c r="NRO8" s="24"/>
      <c r="NRP8" s="24"/>
      <c r="NRQ8" s="24"/>
      <c r="NRR8" s="24"/>
      <c r="NRS8" s="24"/>
      <c r="NRT8" s="24"/>
      <c r="NRU8" s="24"/>
      <c r="NRV8" s="24"/>
      <c r="NRW8" s="24"/>
      <c r="NRX8" s="24"/>
      <c r="NRY8" s="24"/>
      <c r="NRZ8" s="24"/>
      <c r="NSA8" s="24"/>
      <c r="NSB8" s="24"/>
      <c r="NSC8" s="24"/>
      <c r="NSD8" s="24"/>
      <c r="NSE8" s="24"/>
      <c r="NSF8" s="24"/>
      <c r="NSG8" s="24"/>
      <c r="NSH8" s="24"/>
      <c r="NSI8" s="24"/>
      <c r="NSJ8" s="24"/>
      <c r="NSK8" s="24"/>
      <c r="NSL8" s="24"/>
      <c r="NSM8" s="24"/>
      <c r="NSN8" s="24"/>
      <c r="NSO8" s="24"/>
      <c r="NSP8" s="24"/>
      <c r="NSQ8" s="24"/>
      <c r="NSR8" s="24"/>
      <c r="NSS8" s="24"/>
      <c r="NST8" s="24"/>
      <c r="NSU8" s="24"/>
      <c r="NSV8" s="24"/>
      <c r="NSW8" s="24"/>
      <c r="NSX8" s="24"/>
      <c r="NSY8" s="24"/>
      <c r="NSZ8" s="24"/>
      <c r="NTA8" s="24"/>
      <c r="NTB8" s="24"/>
      <c r="NTC8" s="24"/>
      <c r="NTD8" s="24"/>
      <c r="NTE8" s="24"/>
      <c r="NTF8" s="24"/>
      <c r="NTG8" s="24"/>
      <c r="NTH8" s="24"/>
      <c r="NTI8" s="24"/>
      <c r="NTJ8" s="24"/>
      <c r="NTK8" s="24"/>
      <c r="NTL8" s="24"/>
      <c r="NTM8" s="24"/>
      <c r="NTN8" s="24"/>
      <c r="NTO8" s="24"/>
      <c r="NTP8" s="24"/>
      <c r="NTQ8" s="24"/>
      <c r="NTR8" s="24"/>
      <c r="NTS8" s="24"/>
      <c r="NTT8" s="24"/>
      <c r="NTU8" s="24"/>
      <c r="NTV8" s="24"/>
      <c r="NTW8" s="24"/>
      <c r="NTX8" s="24"/>
      <c r="NTY8" s="24"/>
      <c r="NTZ8" s="24"/>
      <c r="NUA8" s="24"/>
      <c r="NUB8" s="24"/>
      <c r="NUC8" s="24"/>
      <c r="NUD8" s="24"/>
      <c r="NUE8" s="24"/>
      <c r="NUF8" s="24"/>
      <c r="NUG8" s="24"/>
      <c r="NUH8" s="24"/>
      <c r="NUI8" s="24"/>
      <c r="NUJ8" s="24"/>
      <c r="NUK8" s="24"/>
      <c r="NUL8" s="24"/>
      <c r="NUM8" s="24"/>
      <c r="NUN8" s="24"/>
      <c r="NUO8" s="24"/>
      <c r="NUP8" s="24"/>
      <c r="NUQ8" s="24"/>
      <c r="NUR8" s="24"/>
      <c r="NUS8" s="24"/>
      <c r="NUT8" s="24"/>
      <c r="NUU8" s="24"/>
      <c r="NUV8" s="24"/>
      <c r="NUW8" s="24"/>
      <c r="NUX8" s="24"/>
      <c r="NUY8" s="24"/>
      <c r="NUZ8" s="24"/>
      <c r="NVA8" s="24"/>
      <c r="NVB8" s="24"/>
      <c r="NVC8" s="24"/>
      <c r="NVD8" s="24"/>
      <c r="NVE8" s="24"/>
      <c r="NVF8" s="24"/>
      <c r="NVG8" s="24"/>
      <c r="NVH8" s="24"/>
      <c r="NVI8" s="24"/>
      <c r="NVJ8" s="24"/>
      <c r="NVK8" s="24"/>
      <c r="NVL8" s="24"/>
      <c r="NVM8" s="24"/>
      <c r="NVN8" s="24"/>
      <c r="NVO8" s="24"/>
      <c r="NVP8" s="24"/>
      <c r="NVQ8" s="24"/>
      <c r="NVR8" s="24"/>
      <c r="NVS8" s="24"/>
      <c r="NVT8" s="24"/>
      <c r="NVU8" s="24"/>
      <c r="NVV8" s="24"/>
      <c r="NVW8" s="24"/>
      <c r="NVX8" s="24"/>
      <c r="NVY8" s="24"/>
      <c r="NVZ8" s="24"/>
      <c r="NWA8" s="24"/>
      <c r="NWB8" s="24"/>
      <c r="NWC8" s="24"/>
      <c r="NWD8" s="24"/>
      <c r="NWE8" s="24"/>
      <c r="NWF8" s="24"/>
      <c r="NWG8" s="24"/>
      <c r="NWH8" s="24"/>
      <c r="NWI8" s="24"/>
      <c r="NWJ8" s="24"/>
      <c r="NWK8" s="24"/>
      <c r="NWL8" s="24"/>
      <c r="NWM8" s="24"/>
      <c r="NWN8" s="24"/>
      <c r="NWO8" s="24"/>
      <c r="NWP8" s="24"/>
      <c r="NWQ8" s="24"/>
      <c r="NWR8" s="24"/>
      <c r="NWS8" s="24"/>
      <c r="NWT8" s="24"/>
      <c r="NWU8" s="24"/>
      <c r="NWV8" s="24"/>
      <c r="NWW8" s="24"/>
      <c r="NWX8" s="24"/>
      <c r="NWY8" s="24"/>
      <c r="NWZ8" s="24"/>
      <c r="NXA8" s="24"/>
      <c r="NXB8" s="24"/>
      <c r="NXC8" s="24"/>
      <c r="NXD8" s="24"/>
      <c r="NXE8" s="24"/>
      <c r="NXF8" s="24"/>
      <c r="NXG8" s="24"/>
      <c r="NXH8" s="24"/>
      <c r="NXI8" s="24"/>
      <c r="NXJ8" s="24"/>
      <c r="NXK8" s="24"/>
      <c r="NXL8" s="24"/>
      <c r="NXM8" s="24"/>
      <c r="NXN8" s="24"/>
      <c r="NXO8" s="24"/>
      <c r="NXP8" s="24"/>
      <c r="NXQ8" s="24"/>
      <c r="NXR8" s="24"/>
      <c r="NXS8" s="24"/>
      <c r="NXT8" s="24"/>
      <c r="NXU8" s="24"/>
      <c r="NXV8" s="24"/>
      <c r="NXW8" s="24"/>
      <c r="NXX8" s="24"/>
      <c r="NXY8" s="24"/>
      <c r="NXZ8" s="24"/>
      <c r="NYA8" s="24"/>
      <c r="NYB8" s="24"/>
      <c r="NYC8" s="24"/>
      <c r="NYD8" s="24"/>
      <c r="NYE8" s="24"/>
      <c r="NYF8" s="24"/>
      <c r="NYG8" s="24"/>
      <c r="NYH8" s="24"/>
      <c r="NYI8" s="24"/>
      <c r="NYJ8" s="24"/>
      <c r="NYK8" s="24"/>
      <c r="NYL8" s="24"/>
      <c r="NYM8" s="24"/>
      <c r="NYN8" s="24"/>
      <c r="NYO8" s="24"/>
      <c r="NYP8" s="24"/>
      <c r="NYQ8" s="24"/>
      <c r="NYR8" s="24"/>
      <c r="NYS8" s="24"/>
      <c r="NYT8" s="24"/>
      <c r="NYU8" s="24"/>
      <c r="NYV8" s="24"/>
      <c r="NYW8" s="24"/>
      <c r="NYX8" s="24"/>
      <c r="NYY8" s="24"/>
      <c r="NYZ8" s="24"/>
      <c r="NZA8" s="24"/>
      <c r="NZB8" s="24"/>
      <c r="NZC8" s="24"/>
      <c r="NZD8" s="24"/>
      <c r="NZE8" s="24"/>
      <c r="NZF8" s="24"/>
      <c r="NZG8" s="24"/>
      <c r="NZH8" s="24"/>
      <c r="NZI8" s="24"/>
      <c r="NZJ8" s="24"/>
      <c r="NZK8" s="24"/>
      <c r="NZL8" s="24"/>
      <c r="NZM8" s="24"/>
      <c r="NZN8" s="24"/>
      <c r="NZO8" s="24"/>
      <c r="NZP8" s="24"/>
      <c r="NZQ8" s="24"/>
      <c r="NZR8" s="24"/>
      <c r="NZS8" s="24"/>
      <c r="NZT8" s="24"/>
      <c r="NZU8" s="24"/>
      <c r="NZV8" s="24"/>
      <c r="NZW8" s="24"/>
      <c r="NZX8" s="24"/>
      <c r="NZY8" s="24"/>
      <c r="NZZ8" s="24"/>
      <c r="OAA8" s="24"/>
      <c r="OAB8" s="24"/>
      <c r="OAC8" s="24"/>
      <c r="OAD8" s="24"/>
      <c r="OAE8" s="24"/>
      <c r="OAF8" s="24"/>
      <c r="OAG8" s="24"/>
      <c r="OAH8" s="24"/>
      <c r="OAI8" s="24"/>
      <c r="OAJ8" s="24"/>
      <c r="OAK8" s="24"/>
      <c r="OAL8" s="24"/>
      <c r="OAM8" s="24"/>
      <c r="OAN8" s="24"/>
      <c r="OAO8" s="24"/>
      <c r="OAP8" s="24"/>
      <c r="OAQ8" s="24"/>
      <c r="OAR8" s="24"/>
      <c r="OAS8" s="24"/>
      <c r="OAT8" s="24"/>
      <c r="OAU8" s="24"/>
      <c r="OAV8" s="24"/>
      <c r="OAW8" s="24"/>
      <c r="OAX8" s="24"/>
      <c r="OAY8" s="24"/>
      <c r="OAZ8" s="24"/>
      <c r="OBA8" s="24"/>
      <c r="OBB8" s="24"/>
      <c r="OBC8" s="24"/>
      <c r="OBD8" s="24"/>
      <c r="OBE8" s="24"/>
      <c r="OBF8" s="24"/>
      <c r="OBG8" s="24"/>
      <c r="OBH8" s="24"/>
      <c r="OBI8" s="24"/>
      <c r="OBJ8" s="24"/>
      <c r="OBK8" s="24"/>
      <c r="OBL8" s="24"/>
      <c r="OBM8" s="24"/>
      <c r="OBN8" s="24"/>
      <c r="OBO8" s="24"/>
      <c r="OBP8" s="24"/>
      <c r="OBQ8" s="24"/>
      <c r="OBR8" s="24"/>
      <c r="OBS8" s="24"/>
      <c r="OBT8" s="24"/>
      <c r="OBU8" s="24"/>
      <c r="OBV8" s="24"/>
      <c r="OBW8" s="24"/>
      <c r="OBX8" s="24"/>
      <c r="OBY8" s="24"/>
      <c r="OBZ8" s="24"/>
      <c r="OCA8" s="24"/>
      <c r="OCB8" s="24"/>
      <c r="OCC8" s="24"/>
      <c r="OCD8" s="24"/>
      <c r="OCE8" s="24"/>
      <c r="OCF8" s="24"/>
      <c r="OCG8" s="24"/>
      <c r="OCH8" s="24"/>
      <c r="OCI8" s="24"/>
      <c r="OCJ8" s="24"/>
      <c r="OCK8" s="24"/>
      <c r="OCL8" s="24"/>
      <c r="OCM8" s="24"/>
      <c r="OCN8" s="24"/>
      <c r="OCO8" s="24"/>
      <c r="OCP8" s="24"/>
      <c r="OCQ8" s="24"/>
      <c r="OCR8" s="24"/>
      <c r="OCS8" s="24"/>
      <c r="OCT8" s="24"/>
      <c r="OCU8" s="24"/>
      <c r="OCV8" s="24"/>
      <c r="OCW8" s="24"/>
      <c r="OCX8" s="24"/>
      <c r="OCY8" s="24"/>
      <c r="OCZ8" s="24"/>
      <c r="ODA8" s="24"/>
      <c r="ODB8" s="24"/>
      <c r="ODC8" s="24"/>
      <c r="ODD8" s="24"/>
      <c r="ODE8" s="24"/>
      <c r="ODF8" s="24"/>
      <c r="ODG8" s="24"/>
      <c r="ODH8" s="24"/>
      <c r="ODI8" s="24"/>
      <c r="ODJ8" s="24"/>
      <c r="ODK8" s="24"/>
      <c r="ODL8" s="24"/>
      <c r="ODM8" s="24"/>
      <c r="ODN8" s="24"/>
      <c r="ODO8" s="24"/>
      <c r="ODP8" s="24"/>
      <c r="ODQ8" s="24"/>
      <c r="ODR8" s="24"/>
      <c r="ODS8" s="24"/>
      <c r="ODT8" s="24"/>
      <c r="ODU8" s="24"/>
      <c r="ODV8" s="24"/>
      <c r="ODW8" s="24"/>
      <c r="ODX8" s="24"/>
      <c r="ODY8" s="24"/>
      <c r="ODZ8" s="24"/>
      <c r="OEA8" s="24"/>
      <c r="OEB8" s="24"/>
      <c r="OEC8" s="24"/>
      <c r="OED8" s="24"/>
      <c r="OEE8" s="24"/>
      <c r="OEF8" s="24"/>
      <c r="OEG8" s="24"/>
      <c r="OEH8" s="24"/>
      <c r="OEI8" s="24"/>
      <c r="OEJ8" s="24"/>
      <c r="OEK8" s="24"/>
      <c r="OEL8" s="24"/>
      <c r="OEM8" s="24"/>
      <c r="OEN8" s="24"/>
      <c r="OEO8" s="24"/>
      <c r="OEP8" s="24"/>
      <c r="OEQ8" s="24"/>
      <c r="OER8" s="24"/>
      <c r="OES8" s="24"/>
      <c r="OET8" s="24"/>
      <c r="OEU8" s="24"/>
      <c r="OEV8" s="24"/>
      <c r="OEW8" s="24"/>
      <c r="OEX8" s="24"/>
      <c r="OEY8" s="24"/>
      <c r="OEZ8" s="24"/>
      <c r="OFA8" s="24"/>
      <c r="OFB8" s="24"/>
      <c r="OFC8" s="24"/>
      <c r="OFD8" s="24"/>
      <c r="OFE8" s="24"/>
      <c r="OFF8" s="24"/>
      <c r="OFG8" s="24"/>
      <c r="OFH8" s="24"/>
      <c r="OFI8" s="24"/>
      <c r="OFJ8" s="24"/>
      <c r="OFK8" s="24"/>
      <c r="OFL8" s="24"/>
      <c r="OFM8" s="24"/>
      <c r="OFN8" s="24"/>
      <c r="OFO8" s="24"/>
      <c r="OFP8" s="24"/>
      <c r="OFQ8" s="24"/>
      <c r="OFR8" s="24"/>
      <c r="OFS8" s="24"/>
      <c r="OFT8" s="24"/>
      <c r="OFU8" s="24"/>
      <c r="OFV8" s="24"/>
      <c r="OFW8" s="24"/>
      <c r="OFX8" s="24"/>
      <c r="OFY8" s="24"/>
      <c r="OFZ8" s="24"/>
      <c r="OGA8" s="24"/>
      <c r="OGB8" s="24"/>
      <c r="OGC8" s="24"/>
      <c r="OGD8" s="24"/>
      <c r="OGE8" s="24"/>
      <c r="OGF8" s="24"/>
      <c r="OGG8" s="24"/>
      <c r="OGH8" s="24"/>
      <c r="OGI8" s="24"/>
      <c r="OGJ8" s="24"/>
      <c r="OGK8" s="24"/>
      <c r="OGL8" s="24"/>
      <c r="OGM8" s="24"/>
      <c r="OGN8" s="24"/>
      <c r="OGO8" s="24"/>
      <c r="OGP8" s="24"/>
      <c r="OGQ8" s="24"/>
      <c r="OGR8" s="24"/>
      <c r="OGS8" s="24"/>
      <c r="OGT8" s="24"/>
      <c r="OGU8" s="24"/>
      <c r="OGV8" s="24"/>
      <c r="OGW8" s="24"/>
      <c r="OGX8" s="24"/>
      <c r="OGY8" s="24"/>
      <c r="OGZ8" s="24"/>
      <c r="OHA8" s="24"/>
      <c r="OHB8" s="24"/>
      <c r="OHC8" s="24"/>
      <c r="OHD8" s="24"/>
      <c r="OHE8" s="24"/>
      <c r="OHF8" s="24"/>
      <c r="OHG8" s="24"/>
      <c r="OHH8" s="24"/>
      <c r="OHI8" s="24"/>
      <c r="OHJ8" s="24"/>
      <c r="OHK8" s="24"/>
      <c r="OHL8" s="24"/>
      <c r="OHM8" s="24"/>
      <c r="OHN8" s="24"/>
      <c r="OHO8" s="24"/>
      <c r="OHP8" s="24"/>
      <c r="OHQ8" s="24"/>
      <c r="OHR8" s="24"/>
      <c r="OHS8" s="24"/>
      <c r="OHT8" s="24"/>
      <c r="OHU8" s="24"/>
      <c r="OHV8" s="24"/>
      <c r="OHW8" s="24"/>
      <c r="OHX8" s="24"/>
      <c r="OHY8" s="24"/>
      <c r="OHZ8" s="24"/>
      <c r="OIA8" s="24"/>
      <c r="OIB8" s="24"/>
      <c r="OIC8" s="24"/>
      <c r="OID8" s="24"/>
      <c r="OIE8" s="24"/>
      <c r="OIF8" s="24"/>
      <c r="OIG8" s="24"/>
      <c r="OIH8" s="24"/>
      <c r="OII8" s="24"/>
      <c r="OIJ8" s="24"/>
      <c r="OIK8" s="24"/>
      <c r="OIL8" s="24"/>
      <c r="OIM8" s="24"/>
      <c r="OIN8" s="24"/>
      <c r="OIO8" s="24"/>
      <c r="OIP8" s="24"/>
      <c r="OIQ8" s="24"/>
      <c r="OIR8" s="24"/>
      <c r="OIS8" s="24"/>
      <c r="OIT8" s="24"/>
      <c r="OIU8" s="24"/>
      <c r="OIV8" s="24"/>
      <c r="OIW8" s="24"/>
      <c r="OIX8" s="24"/>
      <c r="OIY8" s="24"/>
      <c r="OIZ8" s="24"/>
      <c r="OJA8" s="24"/>
      <c r="OJB8" s="24"/>
      <c r="OJC8" s="24"/>
      <c r="OJD8" s="24"/>
      <c r="OJE8" s="24"/>
      <c r="OJF8" s="24"/>
      <c r="OJG8" s="24"/>
      <c r="OJH8" s="24"/>
      <c r="OJI8" s="24"/>
      <c r="OJJ8" s="24"/>
      <c r="OJK8" s="24"/>
      <c r="OJL8" s="24"/>
      <c r="OJM8" s="24"/>
      <c r="OJN8" s="24"/>
      <c r="OJO8" s="24"/>
      <c r="OJP8" s="24"/>
      <c r="OJQ8" s="24"/>
      <c r="OJR8" s="24"/>
      <c r="OJS8" s="24"/>
      <c r="OJT8" s="24"/>
      <c r="OJU8" s="24"/>
      <c r="OJV8" s="24"/>
      <c r="OJW8" s="24"/>
      <c r="OJX8" s="24"/>
      <c r="OJY8" s="24"/>
      <c r="OJZ8" s="24"/>
      <c r="OKA8" s="24"/>
      <c r="OKB8" s="24"/>
      <c r="OKC8" s="24"/>
      <c r="OKD8" s="24"/>
      <c r="OKE8" s="24"/>
      <c r="OKF8" s="24"/>
      <c r="OKG8" s="24"/>
      <c r="OKH8" s="24"/>
      <c r="OKI8" s="24"/>
      <c r="OKJ8" s="24"/>
      <c r="OKK8" s="24"/>
      <c r="OKL8" s="24"/>
      <c r="OKM8" s="24"/>
      <c r="OKN8" s="24"/>
      <c r="OKO8" s="24"/>
      <c r="OKP8" s="24"/>
      <c r="OKQ8" s="24"/>
      <c r="OKR8" s="24"/>
      <c r="OKS8" s="24"/>
      <c r="OKT8" s="24"/>
      <c r="OKU8" s="24"/>
      <c r="OKV8" s="24"/>
      <c r="OKW8" s="24"/>
      <c r="OKX8" s="24"/>
      <c r="OKY8" s="24"/>
      <c r="OKZ8" s="24"/>
      <c r="OLA8" s="24"/>
      <c r="OLB8" s="24"/>
      <c r="OLC8" s="24"/>
      <c r="OLD8" s="24"/>
      <c r="OLE8" s="24"/>
      <c r="OLF8" s="24"/>
      <c r="OLG8" s="24"/>
      <c r="OLH8" s="24"/>
      <c r="OLI8" s="24"/>
      <c r="OLJ8" s="24"/>
      <c r="OLK8" s="24"/>
      <c r="OLL8" s="24"/>
      <c r="OLM8" s="24"/>
      <c r="OLN8" s="24"/>
      <c r="OLO8" s="24"/>
      <c r="OLP8" s="24"/>
      <c r="OLQ8" s="24"/>
      <c r="OLR8" s="24"/>
      <c r="OLS8" s="24"/>
      <c r="OLT8" s="24"/>
      <c r="OLU8" s="24"/>
      <c r="OLV8" s="24"/>
      <c r="OLW8" s="24"/>
      <c r="OLX8" s="24"/>
      <c r="OLY8" s="24"/>
      <c r="OLZ8" s="24"/>
      <c r="OMA8" s="24"/>
      <c r="OMB8" s="24"/>
      <c r="OMC8" s="24"/>
      <c r="OMD8" s="24"/>
      <c r="OME8" s="24"/>
      <c r="OMF8" s="24"/>
      <c r="OMG8" s="24"/>
      <c r="OMH8" s="24"/>
      <c r="OMI8" s="24"/>
      <c r="OMJ8" s="24"/>
      <c r="OMK8" s="24"/>
      <c r="OML8" s="24"/>
      <c r="OMM8" s="24"/>
      <c r="OMN8" s="24"/>
      <c r="OMO8" s="24"/>
      <c r="OMP8" s="24"/>
      <c r="OMQ8" s="24"/>
      <c r="OMR8" s="24"/>
      <c r="OMS8" s="24"/>
      <c r="OMT8" s="24"/>
      <c r="OMU8" s="24"/>
      <c r="OMV8" s="24"/>
      <c r="OMW8" s="24"/>
      <c r="OMX8" s="24"/>
      <c r="OMY8" s="24"/>
      <c r="OMZ8" s="24"/>
      <c r="ONA8" s="24"/>
      <c r="ONB8" s="24"/>
      <c r="ONC8" s="24"/>
      <c r="OND8" s="24"/>
      <c r="ONE8" s="24"/>
      <c r="ONF8" s="24"/>
      <c r="ONG8" s="24"/>
      <c r="ONH8" s="24"/>
      <c r="ONI8" s="24"/>
      <c r="ONJ8" s="24"/>
      <c r="ONK8" s="24"/>
      <c r="ONL8" s="24"/>
      <c r="ONM8" s="24"/>
      <c r="ONN8" s="24"/>
      <c r="ONO8" s="24"/>
      <c r="ONP8" s="24"/>
      <c r="ONQ8" s="24"/>
      <c r="ONR8" s="24"/>
      <c r="ONS8" s="24"/>
      <c r="ONT8" s="24"/>
      <c r="ONU8" s="24"/>
      <c r="ONV8" s="24"/>
      <c r="ONW8" s="24"/>
      <c r="ONX8" s="24"/>
      <c r="ONY8" s="24"/>
      <c r="ONZ8" s="24"/>
      <c r="OOA8" s="24"/>
      <c r="OOB8" s="24"/>
      <c r="OOC8" s="24"/>
      <c r="OOD8" s="24"/>
      <c r="OOE8" s="24"/>
      <c r="OOF8" s="24"/>
      <c r="OOG8" s="24"/>
      <c r="OOH8" s="24"/>
      <c r="OOI8" s="24"/>
      <c r="OOJ8" s="24"/>
      <c r="OOK8" s="24"/>
      <c r="OOL8" s="24"/>
      <c r="OOM8" s="24"/>
      <c r="OON8" s="24"/>
      <c r="OOO8" s="24"/>
      <c r="OOP8" s="24"/>
      <c r="OOQ8" s="24"/>
      <c r="OOR8" s="24"/>
      <c r="OOS8" s="24"/>
      <c r="OOT8" s="24"/>
      <c r="OOU8" s="24"/>
      <c r="OOV8" s="24"/>
      <c r="OOW8" s="24"/>
      <c r="OOX8" s="24"/>
      <c r="OOY8" s="24"/>
      <c r="OOZ8" s="24"/>
      <c r="OPA8" s="24"/>
      <c r="OPB8" s="24"/>
      <c r="OPC8" s="24"/>
      <c r="OPD8" s="24"/>
      <c r="OPE8" s="24"/>
      <c r="OPF8" s="24"/>
      <c r="OPG8" s="24"/>
      <c r="OPH8" s="24"/>
      <c r="OPI8" s="24"/>
      <c r="OPJ8" s="24"/>
      <c r="OPK8" s="24"/>
      <c r="OPL8" s="24"/>
      <c r="OPM8" s="24"/>
      <c r="OPN8" s="24"/>
      <c r="OPO8" s="24"/>
      <c r="OPP8" s="24"/>
      <c r="OPQ8" s="24"/>
      <c r="OPR8" s="24"/>
      <c r="OPS8" s="24"/>
      <c r="OPT8" s="24"/>
      <c r="OPU8" s="24"/>
      <c r="OPV8" s="24"/>
      <c r="OPW8" s="24"/>
      <c r="OPX8" s="24"/>
      <c r="OPY8" s="24"/>
      <c r="OPZ8" s="24"/>
      <c r="OQA8" s="24"/>
      <c r="OQB8" s="24"/>
      <c r="OQC8" s="24"/>
      <c r="OQD8" s="24"/>
      <c r="OQE8" s="24"/>
      <c r="OQF8" s="24"/>
      <c r="OQG8" s="24"/>
      <c r="OQH8" s="24"/>
      <c r="OQI8" s="24"/>
      <c r="OQJ8" s="24"/>
      <c r="OQK8" s="24"/>
      <c r="OQL8" s="24"/>
      <c r="OQM8" s="24"/>
      <c r="OQN8" s="24"/>
      <c r="OQO8" s="24"/>
      <c r="OQP8" s="24"/>
      <c r="OQQ8" s="24"/>
      <c r="OQR8" s="24"/>
      <c r="OQS8" s="24"/>
      <c r="OQT8" s="24"/>
      <c r="OQU8" s="24"/>
      <c r="OQV8" s="24"/>
      <c r="OQW8" s="24"/>
      <c r="OQX8" s="24"/>
      <c r="OQY8" s="24"/>
      <c r="OQZ8" s="24"/>
      <c r="ORA8" s="24"/>
      <c r="ORB8" s="24"/>
      <c r="ORC8" s="24"/>
      <c r="ORD8" s="24"/>
      <c r="ORE8" s="24"/>
      <c r="ORF8" s="24"/>
      <c r="ORG8" s="24"/>
      <c r="ORH8" s="24"/>
      <c r="ORI8" s="24"/>
      <c r="ORJ8" s="24"/>
      <c r="ORK8" s="24"/>
      <c r="ORL8" s="24"/>
      <c r="ORM8" s="24"/>
      <c r="ORN8" s="24"/>
      <c r="ORO8" s="24"/>
      <c r="ORP8" s="24"/>
      <c r="ORQ8" s="24"/>
      <c r="ORR8" s="24"/>
      <c r="ORS8" s="24"/>
      <c r="ORT8" s="24"/>
      <c r="ORU8" s="24"/>
      <c r="ORV8" s="24"/>
      <c r="ORW8" s="24"/>
      <c r="ORX8" s="24"/>
      <c r="ORY8" s="24"/>
      <c r="ORZ8" s="24"/>
      <c r="OSA8" s="24"/>
      <c r="OSB8" s="24"/>
      <c r="OSC8" s="24"/>
      <c r="OSD8" s="24"/>
      <c r="OSE8" s="24"/>
      <c r="OSF8" s="24"/>
      <c r="OSG8" s="24"/>
      <c r="OSH8" s="24"/>
      <c r="OSI8" s="24"/>
      <c r="OSJ8" s="24"/>
      <c r="OSK8" s="24"/>
      <c r="OSL8" s="24"/>
      <c r="OSM8" s="24"/>
      <c r="OSN8" s="24"/>
      <c r="OSO8" s="24"/>
      <c r="OSP8" s="24"/>
      <c r="OSQ8" s="24"/>
      <c r="OSR8" s="24"/>
      <c r="OSS8" s="24"/>
      <c r="OST8" s="24"/>
      <c r="OSU8" s="24"/>
      <c r="OSV8" s="24"/>
      <c r="OSW8" s="24"/>
      <c r="OSX8" s="24"/>
      <c r="OSY8" s="24"/>
      <c r="OSZ8" s="24"/>
      <c r="OTA8" s="24"/>
      <c r="OTB8" s="24"/>
      <c r="OTC8" s="24"/>
      <c r="OTD8" s="24"/>
      <c r="OTE8" s="24"/>
      <c r="OTF8" s="24"/>
      <c r="OTG8" s="24"/>
      <c r="OTH8" s="24"/>
      <c r="OTI8" s="24"/>
      <c r="OTJ8" s="24"/>
      <c r="OTK8" s="24"/>
      <c r="OTL8" s="24"/>
      <c r="OTM8" s="24"/>
      <c r="OTN8" s="24"/>
      <c r="OTO8" s="24"/>
      <c r="OTP8" s="24"/>
      <c r="OTQ8" s="24"/>
      <c r="OTR8" s="24"/>
      <c r="OTS8" s="24"/>
      <c r="OTT8" s="24"/>
      <c r="OTU8" s="24"/>
      <c r="OTV8" s="24"/>
      <c r="OTW8" s="24"/>
      <c r="OTX8" s="24"/>
      <c r="OTY8" s="24"/>
      <c r="OTZ8" s="24"/>
      <c r="OUA8" s="24"/>
      <c r="OUB8" s="24"/>
      <c r="OUC8" s="24"/>
      <c r="OUD8" s="24"/>
      <c r="OUE8" s="24"/>
      <c r="OUF8" s="24"/>
      <c r="OUG8" s="24"/>
      <c r="OUH8" s="24"/>
      <c r="OUI8" s="24"/>
      <c r="OUJ8" s="24"/>
      <c r="OUK8" s="24"/>
      <c r="OUL8" s="24"/>
      <c r="OUM8" s="24"/>
      <c r="OUN8" s="24"/>
      <c r="OUO8" s="24"/>
      <c r="OUP8" s="24"/>
      <c r="OUQ8" s="24"/>
      <c r="OUR8" s="24"/>
      <c r="OUS8" s="24"/>
      <c r="OUT8" s="24"/>
      <c r="OUU8" s="24"/>
      <c r="OUV8" s="24"/>
      <c r="OUW8" s="24"/>
      <c r="OUX8" s="24"/>
      <c r="OUY8" s="24"/>
      <c r="OUZ8" s="24"/>
      <c r="OVA8" s="24"/>
      <c r="OVB8" s="24"/>
      <c r="OVC8" s="24"/>
      <c r="OVD8" s="24"/>
      <c r="OVE8" s="24"/>
      <c r="OVF8" s="24"/>
      <c r="OVG8" s="24"/>
      <c r="OVH8" s="24"/>
      <c r="OVI8" s="24"/>
      <c r="OVJ8" s="24"/>
      <c r="OVK8" s="24"/>
      <c r="OVL8" s="24"/>
      <c r="OVM8" s="24"/>
      <c r="OVN8" s="24"/>
      <c r="OVO8" s="24"/>
      <c r="OVP8" s="24"/>
      <c r="OVQ8" s="24"/>
      <c r="OVR8" s="24"/>
      <c r="OVS8" s="24"/>
      <c r="OVT8" s="24"/>
      <c r="OVU8" s="24"/>
      <c r="OVV8" s="24"/>
      <c r="OVW8" s="24"/>
      <c r="OVX8" s="24"/>
      <c r="OVY8" s="24"/>
      <c r="OVZ8" s="24"/>
      <c r="OWA8" s="24"/>
      <c r="OWB8" s="24"/>
      <c r="OWC8" s="24"/>
      <c r="OWD8" s="24"/>
      <c r="OWE8" s="24"/>
      <c r="OWF8" s="24"/>
      <c r="OWG8" s="24"/>
      <c r="OWH8" s="24"/>
      <c r="OWI8" s="24"/>
      <c r="OWJ8" s="24"/>
      <c r="OWK8" s="24"/>
      <c r="OWL8" s="24"/>
      <c r="OWM8" s="24"/>
      <c r="OWN8" s="24"/>
      <c r="OWO8" s="24"/>
      <c r="OWP8" s="24"/>
      <c r="OWQ8" s="24"/>
      <c r="OWR8" s="24"/>
      <c r="OWS8" s="24"/>
      <c r="OWT8" s="24"/>
      <c r="OWU8" s="24"/>
      <c r="OWV8" s="24"/>
      <c r="OWW8" s="24"/>
      <c r="OWX8" s="24"/>
      <c r="OWY8" s="24"/>
      <c r="OWZ8" s="24"/>
      <c r="OXA8" s="24"/>
      <c r="OXB8" s="24"/>
      <c r="OXC8" s="24"/>
      <c r="OXD8" s="24"/>
      <c r="OXE8" s="24"/>
      <c r="OXF8" s="24"/>
      <c r="OXG8" s="24"/>
      <c r="OXH8" s="24"/>
      <c r="OXI8" s="24"/>
      <c r="OXJ8" s="24"/>
      <c r="OXK8" s="24"/>
      <c r="OXL8" s="24"/>
      <c r="OXM8" s="24"/>
      <c r="OXN8" s="24"/>
      <c r="OXO8" s="24"/>
      <c r="OXP8" s="24"/>
      <c r="OXQ8" s="24"/>
      <c r="OXR8" s="24"/>
      <c r="OXS8" s="24"/>
      <c r="OXT8" s="24"/>
      <c r="OXU8" s="24"/>
      <c r="OXV8" s="24"/>
      <c r="OXW8" s="24"/>
      <c r="OXX8" s="24"/>
      <c r="OXY8" s="24"/>
      <c r="OXZ8" s="24"/>
      <c r="OYA8" s="24"/>
      <c r="OYB8" s="24"/>
      <c r="OYC8" s="24"/>
      <c r="OYD8" s="24"/>
      <c r="OYE8" s="24"/>
      <c r="OYF8" s="24"/>
      <c r="OYG8" s="24"/>
      <c r="OYH8" s="24"/>
      <c r="OYI8" s="24"/>
      <c r="OYJ8" s="24"/>
      <c r="OYK8" s="24"/>
      <c r="OYL8" s="24"/>
      <c r="OYM8" s="24"/>
      <c r="OYN8" s="24"/>
      <c r="OYO8" s="24"/>
      <c r="OYP8" s="24"/>
      <c r="OYQ8" s="24"/>
      <c r="OYR8" s="24"/>
      <c r="OYS8" s="24"/>
      <c r="OYT8" s="24"/>
      <c r="OYU8" s="24"/>
      <c r="OYV8" s="24"/>
      <c r="OYW8" s="24"/>
      <c r="OYX8" s="24"/>
      <c r="OYY8" s="24"/>
      <c r="OYZ8" s="24"/>
      <c r="OZA8" s="24"/>
      <c r="OZB8" s="24"/>
      <c r="OZC8" s="24"/>
      <c r="OZD8" s="24"/>
      <c r="OZE8" s="24"/>
      <c r="OZF8" s="24"/>
      <c r="OZG8" s="24"/>
      <c r="OZH8" s="24"/>
      <c r="OZI8" s="24"/>
      <c r="OZJ8" s="24"/>
      <c r="OZK8" s="24"/>
      <c r="OZL8" s="24"/>
      <c r="OZM8" s="24"/>
      <c r="OZN8" s="24"/>
      <c r="OZO8" s="24"/>
      <c r="OZP8" s="24"/>
      <c r="OZQ8" s="24"/>
      <c r="OZR8" s="24"/>
      <c r="OZS8" s="24"/>
      <c r="OZT8" s="24"/>
      <c r="OZU8" s="24"/>
      <c r="OZV8" s="24"/>
      <c r="OZW8" s="24"/>
      <c r="OZX8" s="24"/>
      <c r="OZY8" s="24"/>
      <c r="OZZ8" s="24"/>
      <c r="PAA8" s="24"/>
      <c r="PAB8" s="24"/>
      <c r="PAC8" s="24"/>
      <c r="PAD8" s="24"/>
      <c r="PAE8" s="24"/>
      <c r="PAF8" s="24"/>
      <c r="PAG8" s="24"/>
      <c r="PAH8" s="24"/>
      <c r="PAI8" s="24"/>
      <c r="PAJ8" s="24"/>
      <c r="PAK8" s="24"/>
      <c r="PAL8" s="24"/>
      <c r="PAM8" s="24"/>
      <c r="PAN8" s="24"/>
      <c r="PAO8" s="24"/>
      <c r="PAP8" s="24"/>
      <c r="PAQ8" s="24"/>
      <c r="PAR8" s="24"/>
      <c r="PAS8" s="24"/>
      <c r="PAT8" s="24"/>
      <c r="PAU8" s="24"/>
      <c r="PAV8" s="24"/>
      <c r="PAW8" s="24"/>
      <c r="PAX8" s="24"/>
      <c r="PAY8" s="24"/>
      <c r="PAZ8" s="24"/>
      <c r="PBA8" s="24"/>
      <c r="PBB8" s="24"/>
      <c r="PBC8" s="24"/>
      <c r="PBD8" s="24"/>
      <c r="PBE8" s="24"/>
      <c r="PBF8" s="24"/>
      <c r="PBG8" s="24"/>
      <c r="PBH8" s="24"/>
      <c r="PBI8" s="24"/>
      <c r="PBJ8" s="24"/>
      <c r="PBK8" s="24"/>
      <c r="PBL8" s="24"/>
      <c r="PBM8" s="24"/>
      <c r="PBN8" s="24"/>
      <c r="PBO8" s="24"/>
      <c r="PBP8" s="24"/>
      <c r="PBQ8" s="24"/>
      <c r="PBR8" s="24"/>
      <c r="PBS8" s="24"/>
      <c r="PBT8" s="24"/>
      <c r="PBU8" s="24"/>
      <c r="PBV8" s="24"/>
      <c r="PBW8" s="24"/>
      <c r="PBX8" s="24"/>
      <c r="PBY8" s="24"/>
      <c r="PBZ8" s="24"/>
      <c r="PCA8" s="24"/>
      <c r="PCB8" s="24"/>
      <c r="PCC8" s="24"/>
      <c r="PCD8" s="24"/>
      <c r="PCE8" s="24"/>
      <c r="PCF8" s="24"/>
      <c r="PCG8" s="24"/>
      <c r="PCH8" s="24"/>
      <c r="PCI8" s="24"/>
      <c r="PCJ8" s="24"/>
      <c r="PCK8" s="24"/>
      <c r="PCL8" s="24"/>
      <c r="PCM8" s="24"/>
      <c r="PCN8" s="24"/>
      <c r="PCO8" s="24"/>
      <c r="PCP8" s="24"/>
      <c r="PCQ8" s="24"/>
      <c r="PCR8" s="24"/>
      <c r="PCS8" s="24"/>
      <c r="PCT8" s="24"/>
      <c r="PCU8" s="24"/>
      <c r="PCV8" s="24"/>
      <c r="PCW8" s="24"/>
      <c r="PCX8" s="24"/>
      <c r="PCY8" s="24"/>
      <c r="PCZ8" s="24"/>
      <c r="PDA8" s="24"/>
      <c r="PDB8" s="24"/>
      <c r="PDC8" s="24"/>
      <c r="PDD8" s="24"/>
      <c r="PDE8" s="24"/>
      <c r="PDF8" s="24"/>
      <c r="PDG8" s="24"/>
      <c r="PDH8" s="24"/>
      <c r="PDI8" s="24"/>
      <c r="PDJ8" s="24"/>
      <c r="PDK8" s="24"/>
      <c r="PDL8" s="24"/>
      <c r="PDM8" s="24"/>
      <c r="PDN8" s="24"/>
      <c r="PDO8" s="24"/>
      <c r="PDP8" s="24"/>
      <c r="PDQ8" s="24"/>
      <c r="PDR8" s="24"/>
      <c r="PDS8" s="24"/>
      <c r="PDT8" s="24"/>
      <c r="PDU8" s="24"/>
      <c r="PDV8" s="24"/>
      <c r="PDW8" s="24"/>
      <c r="PDX8" s="24"/>
      <c r="PDY8" s="24"/>
      <c r="PDZ8" s="24"/>
      <c r="PEA8" s="24"/>
      <c r="PEB8" s="24"/>
      <c r="PEC8" s="24"/>
      <c r="PED8" s="24"/>
      <c r="PEE8" s="24"/>
      <c r="PEF8" s="24"/>
      <c r="PEG8" s="24"/>
      <c r="PEH8" s="24"/>
      <c r="PEI8" s="24"/>
      <c r="PEJ8" s="24"/>
      <c r="PEK8" s="24"/>
      <c r="PEL8" s="24"/>
      <c r="PEM8" s="24"/>
      <c r="PEN8" s="24"/>
      <c r="PEO8" s="24"/>
      <c r="PEP8" s="24"/>
      <c r="PEQ8" s="24"/>
      <c r="PER8" s="24"/>
      <c r="PES8" s="24"/>
      <c r="PET8" s="24"/>
      <c r="PEU8" s="24"/>
      <c r="PEV8" s="24"/>
      <c r="PEW8" s="24"/>
      <c r="PEX8" s="24"/>
      <c r="PEY8" s="24"/>
      <c r="PEZ8" s="24"/>
      <c r="PFA8" s="24"/>
      <c r="PFB8" s="24"/>
      <c r="PFC8" s="24"/>
      <c r="PFD8" s="24"/>
      <c r="PFE8" s="24"/>
      <c r="PFF8" s="24"/>
      <c r="PFG8" s="24"/>
      <c r="PFH8" s="24"/>
      <c r="PFI8" s="24"/>
      <c r="PFJ8" s="24"/>
      <c r="PFK8" s="24"/>
      <c r="PFL8" s="24"/>
      <c r="PFM8" s="24"/>
      <c r="PFN8" s="24"/>
      <c r="PFO8" s="24"/>
      <c r="PFP8" s="24"/>
      <c r="PFQ8" s="24"/>
      <c r="PFR8" s="24"/>
      <c r="PFS8" s="24"/>
      <c r="PFT8" s="24"/>
      <c r="PFU8" s="24"/>
      <c r="PFV8" s="24"/>
      <c r="PFW8" s="24"/>
      <c r="PFX8" s="24"/>
      <c r="PFY8" s="24"/>
      <c r="PFZ8" s="24"/>
      <c r="PGA8" s="24"/>
      <c r="PGB8" s="24"/>
      <c r="PGC8" s="24"/>
      <c r="PGD8" s="24"/>
      <c r="PGE8" s="24"/>
      <c r="PGF8" s="24"/>
      <c r="PGG8" s="24"/>
      <c r="PGH8" s="24"/>
      <c r="PGI8" s="24"/>
      <c r="PGJ8" s="24"/>
      <c r="PGK8" s="24"/>
      <c r="PGL8" s="24"/>
      <c r="PGM8" s="24"/>
      <c r="PGN8" s="24"/>
      <c r="PGO8" s="24"/>
      <c r="PGP8" s="24"/>
      <c r="PGQ8" s="24"/>
      <c r="PGR8" s="24"/>
      <c r="PGS8" s="24"/>
      <c r="PGT8" s="24"/>
      <c r="PGU8" s="24"/>
      <c r="PGV8" s="24"/>
      <c r="PGW8" s="24"/>
      <c r="PGX8" s="24"/>
      <c r="PGY8" s="24"/>
      <c r="PGZ8" s="24"/>
      <c r="PHA8" s="24"/>
      <c r="PHB8" s="24"/>
      <c r="PHC8" s="24"/>
      <c r="PHD8" s="24"/>
      <c r="PHE8" s="24"/>
      <c r="PHF8" s="24"/>
      <c r="PHG8" s="24"/>
      <c r="PHH8" s="24"/>
      <c r="PHI8" s="24"/>
      <c r="PHJ8" s="24"/>
      <c r="PHK8" s="24"/>
      <c r="PHL8" s="24"/>
      <c r="PHM8" s="24"/>
      <c r="PHN8" s="24"/>
      <c r="PHO8" s="24"/>
      <c r="PHP8" s="24"/>
      <c r="PHQ8" s="24"/>
      <c r="PHR8" s="24"/>
      <c r="PHS8" s="24"/>
      <c r="PHT8" s="24"/>
      <c r="PHU8" s="24"/>
      <c r="PHV8" s="24"/>
      <c r="PHW8" s="24"/>
      <c r="PHX8" s="24"/>
      <c r="PHY8" s="24"/>
      <c r="PHZ8" s="24"/>
      <c r="PIA8" s="24"/>
      <c r="PIB8" s="24"/>
      <c r="PIC8" s="24"/>
      <c r="PID8" s="24"/>
      <c r="PIE8" s="24"/>
      <c r="PIF8" s="24"/>
      <c r="PIG8" s="24"/>
      <c r="PIH8" s="24"/>
      <c r="PII8" s="24"/>
      <c r="PIJ8" s="24"/>
      <c r="PIK8" s="24"/>
      <c r="PIL8" s="24"/>
      <c r="PIM8" s="24"/>
      <c r="PIN8" s="24"/>
      <c r="PIO8" s="24"/>
      <c r="PIP8" s="24"/>
      <c r="PIQ8" s="24"/>
      <c r="PIR8" s="24"/>
      <c r="PIS8" s="24"/>
      <c r="PIT8" s="24"/>
      <c r="PIU8" s="24"/>
      <c r="PIV8" s="24"/>
      <c r="PIW8" s="24"/>
      <c r="PIX8" s="24"/>
      <c r="PIY8" s="24"/>
      <c r="PIZ8" s="24"/>
      <c r="PJA8" s="24"/>
      <c r="PJB8" s="24"/>
      <c r="PJC8" s="24"/>
      <c r="PJD8" s="24"/>
      <c r="PJE8" s="24"/>
      <c r="PJF8" s="24"/>
      <c r="PJG8" s="24"/>
      <c r="PJH8" s="24"/>
      <c r="PJI8" s="24"/>
      <c r="PJJ8" s="24"/>
      <c r="PJK8" s="24"/>
      <c r="PJL8" s="24"/>
      <c r="PJM8" s="24"/>
      <c r="PJN8" s="24"/>
      <c r="PJO8" s="24"/>
      <c r="PJP8" s="24"/>
      <c r="PJQ8" s="24"/>
      <c r="PJR8" s="24"/>
      <c r="PJS8" s="24"/>
      <c r="PJT8" s="24"/>
      <c r="PJU8" s="24"/>
      <c r="PJV8" s="24"/>
      <c r="PJW8" s="24"/>
      <c r="PJX8" s="24"/>
      <c r="PJY8" s="24"/>
      <c r="PJZ8" s="24"/>
      <c r="PKA8" s="24"/>
      <c r="PKB8" s="24"/>
      <c r="PKC8" s="24"/>
      <c r="PKD8" s="24"/>
      <c r="PKE8" s="24"/>
      <c r="PKF8" s="24"/>
      <c r="PKG8" s="24"/>
      <c r="PKH8" s="24"/>
      <c r="PKI8" s="24"/>
      <c r="PKJ8" s="24"/>
      <c r="PKK8" s="24"/>
      <c r="PKL8" s="24"/>
      <c r="PKM8" s="24"/>
      <c r="PKN8" s="24"/>
      <c r="PKO8" s="24"/>
      <c r="PKP8" s="24"/>
      <c r="PKQ8" s="24"/>
      <c r="PKR8" s="24"/>
      <c r="PKS8" s="24"/>
      <c r="PKT8" s="24"/>
      <c r="PKU8" s="24"/>
      <c r="PKV8" s="24"/>
      <c r="PKW8" s="24"/>
      <c r="PKX8" s="24"/>
      <c r="PKY8" s="24"/>
      <c r="PKZ8" s="24"/>
      <c r="PLA8" s="24"/>
      <c r="PLB8" s="24"/>
      <c r="PLC8" s="24"/>
      <c r="PLD8" s="24"/>
      <c r="PLE8" s="24"/>
      <c r="PLF8" s="24"/>
      <c r="PLG8" s="24"/>
      <c r="PLH8" s="24"/>
      <c r="PLI8" s="24"/>
      <c r="PLJ8" s="24"/>
      <c r="PLK8" s="24"/>
      <c r="PLL8" s="24"/>
      <c r="PLM8" s="24"/>
      <c r="PLN8" s="24"/>
      <c r="PLO8" s="24"/>
      <c r="PLP8" s="24"/>
      <c r="PLQ8" s="24"/>
      <c r="PLR8" s="24"/>
      <c r="PLS8" s="24"/>
      <c r="PLT8" s="24"/>
      <c r="PLU8" s="24"/>
      <c r="PLV8" s="24"/>
      <c r="PLW8" s="24"/>
      <c r="PLX8" s="24"/>
      <c r="PLY8" s="24"/>
      <c r="PLZ8" s="24"/>
      <c r="PMA8" s="24"/>
      <c r="PMB8" s="24"/>
      <c r="PMC8" s="24"/>
      <c r="PMD8" s="24"/>
      <c r="PME8" s="24"/>
      <c r="PMF8" s="24"/>
      <c r="PMG8" s="24"/>
      <c r="PMH8" s="24"/>
      <c r="PMI8" s="24"/>
      <c r="PMJ8" s="24"/>
      <c r="PMK8" s="24"/>
      <c r="PML8" s="24"/>
      <c r="PMM8" s="24"/>
      <c r="PMN8" s="24"/>
      <c r="PMO8" s="24"/>
      <c r="PMP8" s="24"/>
      <c r="PMQ8" s="24"/>
      <c r="PMR8" s="24"/>
      <c r="PMS8" s="24"/>
      <c r="PMT8" s="24"/>
      <c r="PMU8" s="24"/>
      <c r="PMV8" s="24"/>
      <c r="PMW8" s="24"/>
      <c r="PMX8" s="24"/>
      <c r="PMY8" s="24"/>
      <c r="PMZ8" s="24"/>
      <c r="PNA8" s="24"/>
      <c r="PNB8" s="24"/>
      <c r="PNC8" s="24"/>
      <c r="PND8" s="24"/>
      <c r="PNE8" s="24"/>
      <c r="PNF8" s="24"/>
      <c r="PNG8" s="24"/>
      <c r="PNH8" s="24"/>
      <c r="PNI8" s="24"/>
      <c r="PNJ8" s="24"/>
      <c r="PNK8" s="24"/>
      <c r="PNL8" s="24"/>
      <c r="PNM8" s="24"/>
      <c r="PNN8" s="24"/>
      <c r="PNO8" s="24"/>
      <c r="PNP8" s="24"/>
      <c r="PNQ8" s="24"/>
      <c r="PNR8" s="24"/>
      <c r="PNS8" s="24"/>
      <c r="PNT8" s="24"/>
      <c r="PNU8" s="24"/>
      <c r="PNV8" s="24"/>
      <c r="PNW8" s="24"/>
      <c r="PNX8" s="24"/>
      <c r="PNY8" s="24"/>
      <c r="PNZ8" s="24"/>
      <c r="POA8" s="24"/>
      <c r="POB8" s="24"/>
      <c r="POC8" s="24"/>
      <c r="POD8" s="24"/>
      <c r="POE8" s="24"/>
      <c r="POF8" s="24"/>
      <c r="POG8" s="24"/>
      <c r="POH8" s="24"/>
      <c r="POI8" s="24"/>
      <c r="POJ8" s="24"/>
      <c r="POK8" s="24"/>
      <c r="POL8" s="24"/>
      <c r="POM8" s="24"/>
      <c r="PON8" s="24"/>
      <c r="POO8" s="24"/>
      <c r="POP8" s="24"/>
      <c r="POQ8" s="24"/>
      <c r="POR8" s="24"/>
      <c r="POS8" s="24"/>
      <c r="POT8" s="24"/>
      <c r="POU8" s="24"/>
      <c r="POV8" s="24"/>
      <c r="POW8" s="24"/>
      <c r="POX8" s="24"/>
      <c r="POY8" s="24"/>
      <c r="POZ8" s="24"/>
      <c r="PPA8" s="24"/>
      <c r="PPB8" s="24"/>
      <c r="PPC8" s="24"/>
      <c r="PPD8" s="24"/>
      <c r="PPE8" s="24"/>
      <c r="PPF8" s="24"/>
      <c r="PPG8" s="24"/>
      <c r="PPH8" s="24"/>
      <c r="PPI8" s="24"/>
      <c r="PPJ8" s="24"/>
      <c r="PPK8" s="24"/>
      <c r="PPL8" s="24"/>
      <c r="PPM8" s="24"/>
      <c r="PPN8" s="24"/>
      <c r="PPO8" s="24"/>
      <c r="PPP8" s="24"/>
      <c r="PPQ8" s="24"/>
      <c r="PPR8" s="24"/>
      <c r="PPS8" s="24"/>
      <c r="PPT8" s="24"/>
      <c r="PPU8" s="24"/>
      <c r="PPV8" s="24"/>
      <c r="PPW8" s="24"/>
      <c r="PPX8" s="24"/>
      <c r="PPY8" s="24"/>
      <c r="PPZ8" s="24"/>
      <c r="PQA8" s="24"/>
      <c r="PQB8" s="24"/>
      <c r="PQC8" s="24"/>
      <c r="PQD8" s="24"/>
      <c r="PQE8" s="24"/>
      <c r="PQF8" s="24"/>
      <c r="PQG8" s="24"/>
      <c r="PQH8" s="24"/>
      <c r="PQI8" s="24"/>
      <c r="PQJ8" s="24"/>
      <c r="PQK8" s="24"/>
      <c r="PQL8" s="24"/>
      <c r="PQM8" s="24"/>
      <c r="PQN8" s="24"/>
      <c r="PQO8" s="24"/>
      <c r="PQP8" s="24"/>
      <c r="PQQ8" s="24"/>
      <c r="PQR8" s="24"/>
      <c r="PQS8" s="24"/>
      <c r="PQT8" s="24"/>
      <c r="PQU8" s="24"/>
      <c r="PQV8" s="24"/>
      <c r="PQW8" s="24"/>
      <c r="PQX8" s="24"/>
      <c r="PQY8" s="24"/>
      <c r="PQZ8" s="24"/>
      <c r="PRA8" s="24"/>
      <c r="PRB8" s="24"/>
      <c r="PRC8" s="24"/>
      <c r="PRD8" s="24"/>
      <c r="PRE8" s="24"/>
      <c r="PRF8" s="24"/>
      <c r="PRG8" s="24"/>
      <c r="PRH8" s="24"/>
      <c r="PRI8" s="24"/>
      <c r="PRJ8" s="24"/>
      <c r="PRK8" s="24"/>
      <c r="PRL8" s="24"/>
      <c r="PRM8" s="24"/>
      <c r="PRN8" s="24"/>
      <c r="PRO8" s="24"/>
      <c r="PRP8" s="24"/>
      <c r="PRQ8" s="24"/>
      <c r="PRR8" s="24"/>
      <c r="PRS8" s="24"/>
      <c r="PRT8" s="24"/>
      <c r="PRU8" s="24"/>
      <c r="PRV8" s="24"/>
      <c r="PRW8" s="24"/>
      <c r="PRX8" s="24"/>
      <c r="PRY8" s="24"/>
      <c r="PRZ8" s="24"/>
      <c r="PSA8" s="24"/>
      <c r="PSB8" s="24"/>
      <c r="PSC8" s="24"/>
      <c r="PSD8" s="24"/>
      <c r="PSE8" s="24"/>
      <c r="PSF8" s="24"/>
      <c r="PSG8" s="24"/>
      <c r="PSH8" s="24"/>
      <c r="PSI8" s="24"/>
      <c r="PSJ8" s="24"/>
      <c r="PSK8" s="24"/>
      <c r="PSL8" s="24"/>
      <c r="PSM8" s="24"/>
      <c r="PSN8" s="24"/>
      <c r="PSO8" s="24"/>
      <c r="PSP8" s="24"/>
      <c r="PSQ8" s="24"/>
      <c r="PSR8" s="24"/>
      <c r="PSS8" s="24"/>
      <c r="PST8" s="24"/>
      <c r="PSU8" s="24"/>
      <c r="PSV8" s="24"/>
      <c r="PSW8" s="24"/>
      <c r="PSX8" s="24"/>
      <c r="PSY8" s="24"/>
      <c r="PSZ8" s="24"/>
      <c r="PTA8" s="24"/>
      <c r="PTB8" s="24"/>
      <c r="PTC8" s="24"/>
      <c r="PTD8" s="24"/>
      <c r="PTE8" s="24"/>
      <c r="PTF8" s="24"/>
      <c r="PTG8" s="24"/>
      <c r="PTH8" s="24"/>
      <c r="PTI8" s="24"/>
      <c r="PTJ8" s="24"/>
      <c r="PTK8" s="24"/>
      <c r="PTL8" s="24"/>
      <c r="PTM8" s="24"/>
      <c r="PTN8" s="24"/>
      <c r="PTO8" s="24"/>
      <c r="PTP8" s="24"/>
      <c r="PTQ8" s="24"/>
      <c r="PTR8" s="24"/>
      <c r="PTS8" s="24"/>
      <c r="PTT8" s="24"/>
      <c r="PTU8" s="24"/>
      <c r="PTV8" s="24"/>
      <c r="PTW8" s="24"/>
      <c r="PTX8" s="24"/>
      <c r="PTY8" s="24"/>
      <c r="PTZ8" s="24"/>
      <c r="PUA8" s="24"/>
      <c r="PUB8" s="24"/>
      <c r="PUC8" s="24"/>
      <c r="PUD8" s="24"/>
      <c r="PUE8" s="24"/>
      <c r="PUF8" s="24"/>
      <c r="PUG8" s="24"/>
      <c r="PUH8" s="24"/>
      <c r="PUI8" s="24"/>
      <c r="PUJ8" s="24"/>
      <c r="PUK8" s="24"/>
      <c r="PUL8" s="24"/>
      <c r="PUM8" s="24"/>
      <c r="PUN8" s="24"/>
      <c r="PUO8" s="24"/>
      <c r="PUP8" s="24"/>
      <c r="PUQ8" s="24"/>
      <c r="PUR8" s="24"/>
      <c r="PUS8" s="24"/>
      <c r="PUT8" s="24"/>
      <c r="PUU8" s="24"/>
      <c r="PUV8" s="24"/>
      <c r="PUW8" s="24"/>
      <c r="PUX8" s="24"/>
      <c r="PUY8" s="24"/>
      <c r="PUZ8" s="24"/>
      <c r="PVA8" s="24"/>
      <c r="PVB8" s="24"/>
      <c r="PVC8" s="24"/>
      <c r="PVD8" s="24"/>
      <c r="PVE8" s="24"/>
      <c r="PVF8" s="24"/>
      <c r="PVG8" s="24"/>
      <c r="PVH8" s="24"/>
      <c r="PVI8" s="24"/>
      <c r="PVJ8" s="24"/>
      <c r="PVK8" s="24"/>
      <c r="PVL8" s="24"/>
      <c r="PVM8" s="24"/>
      <c r="PVN8" s="24"/>
      <c r="PVO8" s="24"/>
      <c r="PVP8" s="24"/>
      <c r="PVQ8" s="24"/>
      <c r="PVR8" s="24"/>
      <c r="PVS8" s="24"/>
      <c r="PVT8" s="24"/>
      <c r="PVU8" s="24"/>
      <c r="PVV8" s="24"/>
      <c r="PVW8" s="24"/>
      <c r="PVX8" s="24"/>
      <c r="PVY8" s="24"/>
      <c r="PVZ8" s="24"/>
      <c r="PWA8" s="24"/>
      <c r="PWB8" s="24"/>
      <c r="PWC8" s="24"/>
      <c r="PWD8" s="24"/>
      <c r="PWE8" s="24"/>
      <c r="PWF8" s="24"/>
      <c r="PWG8" s="24"/>
      <c r="PWH8" s="24"/>
      <c r="PWI8" s="24"/>
      <c r="PWJ8" s="24"/>
      <c r="PWK8" s="24"/>
      <c r="PWL8" s="24"/>
      <c r="PWM8" s="24"/>
      <c r="PWN8" s="24"/>
      <c r="PWO8" s="24"/>
      <c r="PWP8" s="24"/>
      <c r="PWQ8" s="24"/>
      <c r="PWR8" s="24"/>
      <c r="PWS8" s="24"/>
      <c r="PWT8" s="24"/>
      <c r="PWU8" s="24"/>
      <c r="PWV8" s="24"/>
      <c r="PWW8" s="24"/>
      <c r="PWX8" s="24"/>
      <c r="PWY8" s="24"/>
      <c r="PWZ8" s="24"/>
      <c r="PXA8" s="24"/>
      <c r="PXB8" s="24"/>
      <c r="PXC8" s="24"/>
      <c r="PXD8" s="24"/>
      <c r="PXE8" s="24"/>
      <c r="PXF8" s="24"/>
      <c r="PXG8" s="24"/>
      <c r="PXH8" s="24"/>
      <c r="PXI8" s="24"/>
      <c r="PXJ8" s="24"/>
      <c r="PXK8" s="24"/>
      <c r="PXL8" s="24"/>
      <c r="PXM8" s="24"/>
      <c r="PXN8" s="24"/>
      <c r="PXO8" s="24"/>
      <c r="PXP8" s="24"/>
      <c r="PXQ8" s="24"/>
      <c r="PXR8" s="24"/>
      <c r="PXS8" s="24"/>
      <c r="PXT8" s="24"/>
      <c r="PXU8" s="24"/>
      <c r="PXV8" s="24"/>
      <c r="PXW8" s="24"/>
      <c r="PXX8" s="24"/>
      <c r="PXY8" s="24"/>
      <c r="PXZ8" s="24"/>
      <c r="PYA8" s="24"/>
      <c r="PYB8" s="24"/>
      <c r="PYC8" s="24"/>
      <c r="PYD8" s="24"/>
      <c r="PYE8" s="24"/>
      <c r="PYF8" s="24"/>
      <c r="PYG8" s="24"/>
      <c r="PYH8" s="24"/>
      <c r="PYI8" s="24"/>
      <c r="PYJ8" s="24"/>
      <c r="PYK8" s="24"/>
      <c r="PYL8" s="24"/>
      <c r="PYM8" s="24"/>
      <c r="PYN8" s="24"/>
      <c r="PYO8" s="24"/>
      <c r="PYP8" s="24"/>
      <c r="PYQ8" s="24"/>
      <c r="PYR8" s="24"/>
      <c r="PYS8" s="24"/>
      <c r="PYT8" s="24"/>
      <c r="PYU8" s="24"/>
      <c r="PYV8" s="24"/>
      <c r="PYW8" s="24"/>
      <c r="PYX8" s="24"/>
      <c r="PYY8" s="24"/>
      <c r="PYZ8" s="24"/>
      <c r="PZA8" s="24"/>
      <c r="PZB8" s="24"/>
      <c r="PZC8" s="24"/>
      <c r="PZD8" s="24"/>
      <c r="PZE8" s="24"/>
      <c r="PZF8" s="24"/>
      <c r="PZG8" s="24"/>
      <c r="PZH8" s="24"/>
      <c r="PZI8" s="24"/>
      <c r="PZJ8" s="24"/>
      <c r="PZK8" s="24"/>
      <c r="PZL8" s="24"/>
      <c r="PZM8" s="24"/>
      <c r="PZN8" s="24"/>
      <c r="PZO8" s="24"/>
      <c r="PZP8" s="24"/>
      <c r="PZQ8" s="24"/>
      <c r="PZR8" s="24"/>
      <c r="PZS8" s="24"/>
      <c r="PZT8" s="24"/>
      <c r="PZU8" s="24"/>
      <c r="PZV8" s="24"/>
      <c r="PZW8" s="24"/>
      <c r="PZX8" s="24"/>
      <c r="PZY8" s="24"/>
      <c r="PZZ8" s="24"/>
      <c r="QAA8" s="24"/>
      <c r="QAB8" s="24"/>
      <c r="QAC8" s="24"/>
      <c r="QAD8" s="24"/>
      <c r="QAE8" s="24"/>
      <c r="QAF8" s="24"/>
      <c r="QAG8" s="24"/>
      <c r="QAH8" s="24"/>
      <c r="QAI8" s="24"/>
      <c r="QAJ8" s="24"/>
      <c r="QAK8" s="24"/>
      <c r="QAL8" s="24"/>
      <c r="QAM8" s="24"/>
      <c r="QAN8" s="24"/>
      <c r="QAO8" s="24"/>
      <c r="QAP8" s="24"/>
      <c r="QAQ8" s="24"/>
      <c r="QAR8" s="24"/>
      <c r="QAS8" s="24"/>
      <c r="QAT8" s="24"/>
      <c r="QAU8" s="24"/>
      <c r="QAV8" s="24"/>
      <c r="QAW8" s="24"/>
      <c r="QAX8" s="24"/>
      <c r="QAY8" s="24"/>
      <c r="QAZ8" s="24"/>
      <c r="QBA8" s="24"/>
      <c r="QBB8" s="24"/>
      <c r="QBC8" s="24"/>
      <c r="QBD8" s="24"/>
      <c r="QBE8" s="24"/>
      <c r="QBF8" s="24"/>
      <c r="QBG8" s="24"/>
      <c r="QBH8" s="24"/>
      <c r="QBI8" s="24"/>
      <c r="QBJ8" s="24"/>
      <c r="QBK8" s="24"/>
      <c r="QBL8" s="24"/>
      <c r="QBM8" s="24"/>
      <c r="QBN8" s="24"/>
      <c r="QBO8" s="24"/>
      <c r="QBP8" s="24"/>
      <c r="QBQ8" s="24"/>
      <c r="QBR8" s="24"/>
      <c r="QBS8" s="24"/>
      <c r="QBT8" s="24"/>
      <c r="QBU8" s="24"/>
      <c r="QBV8" s="24"/>
      <c r="QBW8" s="24"/>
      <c r="QBX8" s="24"/>
      <c r="QBY8" s="24"/>
      <c r="QBZ8" s="24"/>
      <c r="QCA8" s="24"/>
      <c r="QCB8" s="24"/>
      <c r="QCC8" s="24"/>
      <c r="QCD8" s="24"/>
      <c r="QCE8" s="24"/>
      <c r="QCF8" s="24"/>
      <c r="QCG8" s="24"/>
      <c r="QCH8" s="24"/>
      <c r="QCI8" s="24"/>
      <c r="QCJ8" s="24"/>
      <c r="QCK8" s="24"/>
      <c r="QCL8" s="24"/>
      <c r="QCM8" s="24"/>
      <c r="QCN8" s="24"/>
      <c r="QCO8" s="24"/>
      <c r="QCP8" s="24"/>
      <c r="QCQ8" s="24"/>
      <c r="QCR8" s="24"/>
      <c r="QCS8" s="24"/>
      <c r="QCT8" s="24"/>
      <c r="QCU8" s="24"/>
      <c r="QCV8" s="24"/>
      <c r="QCW8" s="24"/>
      <c r="QCX8" s="24"/>
      <c r="QCY8" s="24"/>
      <c r="QCZ8" s="24"/>
      <c r="QDA8" s="24"/>
      <c r="QDB8" s="24"/>
      <c r="QDC8" s="24"/>
      <c r="QDD8" s="24"/>
      <c r="QDE8" s="24"/>
      <c r="QDF8" s="24"/>
      <c r="QDG8" s="24"/>
      <c r="QDH8" s="24"/>
      <c r="QDI8" s="24"/>
      <c r="QDJ8" s="24"/>
      <c r="QDK8" s="24"/>
      <c r="QDL8" s="24"/>
      <c r="QDM8" s="24"/>
      <c r="QDN8" s="24"/>
      <c r="QDO8" s="24"/>
      <c r="QDP8" s="24"/>
      <c r="QDQ8" s="24"/>
      <c r="QDR8" s="24"/>
      <c r="QDS8" s="24"/>
      <c r="QDT8" s="24"/>
      <c r="QDU8" s="24"/>
      <c r="QDV8" s="24"/>
      <c r="QDW8" s="24"/>
      <c r="QDX8" s="24"/>
      <c r="QDY8" s="24"/>
      <c r="QDZ8" s="24"/>
      <c r="QEA8" s="24"/>
      <c r="QEB8" s="24"/>
      <c r="QEC8" s="24"/>
      <c r="QED8" s="24"/>
      <c r="QEE8" s="24"/>
      <c r="QEF8" s="24"/>
      <c r="QEG8" s="24"/>
      <c r="QEH8" s="24"/>
      <c r="QEI8" s="24"/>
      <c r="QEJ8" s="24"/>
      <c r="QEK8" s="24"/>
      <c r="QEL8" s="24"/>
      <c r="QEM8" s="24"/>
      <c r="QEN8" s="24"/>
      <c r="QEO8" s="24"/>
      <c r="QEP8" s="24"/>
      <c r="QEQ8" s="24"/>
      <c r="QER8" s="24"/>
      <c r="QES8" s="24"/>
      <c r="QET8" s="24"/>
      <c r="QEU8" s="24"/>
      <c r="QEV8" s="24"/>
      <c r="QEW8" s="24"/>
      <c r="QEX8" s="24"/>
      <c r="QEY8" s="24"/>
      <c r="QEZ8" s="24"/>
      <c r="QFA8" s="24"/>
      <c r="QFB8" s="24"/>
      <c r="QFC8" s="24"/>
      <c r="QFD8" s="24"/>
      <c r="QFE8" s="24"/>
      <c r="QFF8" s="24"/>
      <c r="QFG8" s="24"/>
      <c r="QFH8" s="24"/>
      <c r="QFI8" s="24"/>
      <c r="QFJ8" s="24"/>
      <c r="QFK8" s="24"/>
      <c r="QFL8" s="24"/>
      <c r="QFM8" s="24"/>
      <c r="QFN8" s="24"/>
      <c r="QFO8" s="24"/>
      <c r="QFP8" s="24"/>
      <c r="QFQ8" s="24"/>
      <c r="QFR8" s="24"/>
      <c r="QFS8" s="24"/>
      <c r="QFT8" s="24"/>
      <c r="QFU8" s="24"/>
      <c r="QFV8" s="24"/>
      <c r="QFW8" s="24"/>
      <c r="QFX8" s="24"/>
      <c r="QFY8" s="24"/>
      <c r="QFZ8" s="24"/>
      <c r="QGA8" s="24"/>
      <c r="QGB8" s="24"/>
      <c r="QGC8" s="24"/>
      <c r="QGD8" s="24"/>
      <c r="QGE8" s="24"/>
      <c r="QGF8" s="24"/>
      <c r="QGG8" s="24"/>
      <c r="QGH8" s="24"/>
      <c r="QGI8" s="24"/>
      <c r="QGJ8" s="24"/>
      <c r="QGK8" s="24"/>
      <c r="QGL8" s="24"/>
      <c r="QGM8" s="24"/>
      <c r="QGN8" s="24"/>
      <c r="QGO8" s="24"/>
      <c r="QGP8" s="24"/>
      <c r="QGQ8" s="24"/>
      <c r="QGR8" s="24"/>
      <c r="QGS8" s="24"/>
      <c r="QGT8" s="24"/>
      <c r="QGU8" s="24"/>
      <c r="QGV8" s="24"/>
      <c r="QGW8" s="24"/>
      <c r="QGX8" s="24"/>
      <c r="QGY8" s="24"/>
      <c r="QGZ8" s="24"/>
      <c r="QHA8" s="24"/>
      <c r="QHB8" s="24"/>
      <c r="QHC8" s="24"/>
      <c r="QHD8" s="24"/>
      <c r="QHE8" s="24"/>
      <c r="QHF8" s="24"/>
      <c r="QHG8" s="24"/>
      <c r="QHH8" s="24"/>
      <c r="QHI8" s="24"/>
      <c r="QHJ8" s="24"/>
      <c r="QHK8" s="24"/>
      <c r="QHL8" s="24"/>
      <c r="QHM8" s="24"/>
      <c r="QHN8" s="24"/>
      <c r="QHO8" s="24"/>
      <c r="QHP8" s="24"/>
      <c r="QHQ8" s="24"/>
      <c r="QHR8" s="24"/>
      <c r="QHS8" s="24"/>
      <c r="QHT8" s="24"/>
      <c r="QHU8" s="24"/>
      <c r="QHV8" s="24"/>
      <c r="QHW8" s="24"/>
      <c r="QHX8" s="24"/>
      <c r="QHY8" s="24"/>
      <c r="QHZ8" s="24"/>
      <c r="QIA8" s="24"/>
      <c r="QIB8" s="24"/>
      <c r="QIC8" s="24"/>
      <c r="QID8" s="24"/>
      <c r="QIE8" s="24"/>
      <c r="QIF8" s="24"/>
      <c r="QIG8" s="24"/>
      <c r="QIH8" s="24"/>
      <c r="QII8" s="24"/>
      <c r="QIJ8" s="24"/>
      <c r="QIK8" s="24"/>
      <c r="QIL8" s="24"/>
      <c r="QIM8" s="24"/>
      <c r="QIN8" s="24"/>
      <c r="QIO8" s="24"/>
      <c r="QIP8" s="24"/>
      <c r="QIQ8" s="24"/>
      <c r="QIR8" s="24"/>
      <c r="QIS8" s="24"/>
      <c r="QIT8" s="24"/>
      <c r="QIU8" s="24"/>
      <c r="QIV8" s="24"/>
      <c r="QIW8" s="24"/>
      <c r="QIX8" s="24"/>
      <c r="QIY8" s="24"/>
      <c r="QIZ8" s="24"/>
      <c r="QJA8" s="24"/>
      <c r="QJB8" s="24"/>
      <c r="QJC8" s="24"/>
      <c r="QJD8" s="24"/>
      <c r="QJE8" s="24"/>
      <c r="QJF8" s="24"/>
      <c r="QJG8" s="24"/>
      <c r="QJH8" s="24"/>
      <c r="QJI8" s="24"/>
      <c r="QJJ8" s="24"/>
      <c r="QJK8" s="24"/>
      <c r="QJL8" s="24"/>
      <c r="QJM8" s="24"/>
      <c r="QJN8" s="24"/>
      <c r="QJO8" s="24"/>
      <c r="QJP8" s="24"/>
      <c r="QJQ8" s="24"/>
      <c r="QJR8" s="24"/>
      <c r="QJS8" s="24"/>
      <c r="QJT8" s="24"/>
      <c r="QJU8" s="24"/>
      <c r="QJV8" s="24"/>
      <c r="QJW8" s="24"/>
      <c r="QJX8" s="24"/>
      <c r="QJY8" s="24"/>
      <c r="QJZ8" s="24"/>
      <c r="QKA8" s="24"/>
      <c r="QKB8" s="24"/>
      <c r="QKC8" s="24"/>
      <c r="QKD8" s="24"/>
      <c r="QKE8" s="24"/>
      <c r="QKF8" s="24"/>
      <c r="QKG8" s="24"/>
      <c r="QKH8" s="24"/>
      <c r="QKI8" s="24"/>
      <c r="QKJ8" s="24"/>
      <c r="QKK8" s="24"/>
      <c r="QKL8" s="24"/>
      <c r="QKM8" s="24"/>
      <c r="QKN8" s="24"/>
      <c r="QKO8" s="24"/>
      <c r="QKP8" s="24"/>
      <c r="QKQ8" s="24"/>
      <c r="QKR8" s="24"/>
      <c r="QKS8" s="24"/>
      <c r="QKT8" s="24"/>
      <c r="QKU8" s="24"/>
      <c r="QKV8" s="24"/>
      <c r="QKW8" s="24"/>
      <c r="QKX8" s="24"/>
      <c r="QKY8" s="24"/>
      <c r="QKZ8" s="24"/>
      <c r="QLA8" s="24"/>
      <c r="QLB8" s="24"/>
      <c r="QLC8" s="24"/>
      <c r="QLD8" s="24"/>
      <c r="QLE8" s="24"/>
      <c r="QLF8" s="24"/>
      <c r="QLG8" s="24"/>
      <c r="QLH8" s="24"/>
      <c r="QLI8" s="24"/>
      <c r="QLJ8" s="24"/>
      <c r="QLK8" s="24"/>
      <c r="QLL8" s="24"/>
      <c r="QLM8" s="24"/>
      <c r="QLN8" s="24"/>
      <c r="QLO8" s="24"/>
      <c r="QLP8" s="24"/>
      <c r="QLQ8" s="24"/>
      <c r="QLR8" s="24"/>
      <c r="QLS8" s="24"/>
      <c r="QLT8" s="24"/>
      <c r="QLU8" s="24"/>
      <c r="QLV8" s="24"/>
      <c r="QLW8" s="24"/>
      <c r="QLX8" s="24"/>
      <c r="QLY8" s="24"/>
      <c r="QLZ8" s="24"/>
      <c r="QMA8" s="24"/>
      <c r="QMB8" s="24"/>
      <c r="QMC8" s="24"/>
      <c r="QMD8" s="24"/>
      <c r="QME8" s="24"/>
      <c r="QMF8" s="24"/>
      <c r="QMG8" s="24"/>
      <c r="QMH8" s="24"/>
      <c r="QMI8" s="24"/>
      <c r="QMJ8" s="24"/>
      <c r="QMK8" s="24"/>
      <c r="QML8" s="24"/>
      <c r="QMM8" s="24"/>
      <c r="QMN8" s="24"/>
      <c r="QMO8" s="24"/>
      <c r="QMP8" s="24"/>
      <c r="QMQ8" s="24"/>
      <c r="QMR8" s="24"/>
      <c r="QMS8" s="24"/>
      <c r="QMT8" s="24"/>
      <c r="QMU8" s="24"/>
      <c r="QMV8" s="24"/>
      <c r="QMW8" s="24"/>
      <c r="QMX8" s="24"/>
      <c r="QMY8" s="24"/>
      <c r="QMZ8" s="24"/>
      <c r="QNA8" s="24"/>
      <c r="QNB8" s="24"/>
      <c r="QNC8" s="24"/>
      <c r="QND8" s="24"/>
      <c r="QNE8" s="24"/>
      <c r="QNF8" s="24"/>
      <c r="QNG8" s="24"/>
      <c r="QNH8" s="24"/>
      <c r="QNI8" s="24"/>
      <c r="QNJ8" s="24"/>
      <c r="QNK8" s="24"/>
      <c r="QNL8" s="24"/>
      <c r="QNM8" s="24"/>
      <c r="QNN8" s="24"/>
      <c r="QNO8" s="24"/>
      <c r="QNP8" s="24"/>
      <c r="QNQ8" s="24"/>
      <c r="QNR8" s="24"/>
      <c r="QNS8" s="24"/>
      <c r="QNT8" s="24"/>
      <c r="QNU8" s="24"/>
      <c r="QNV8" s="24"/>
      <c r="QNW8" s="24"/>
      <c r="QNX8" s="24"/>
      <c r="QNY8" s="24"/>
      <c r="QNZ8" s="24"/>
      <c r="QOA8" s="24"/>
      <c r="QOB8" s="24"/>
      <c r="QOC8" s="24"/>
      <c r="QOD8" s="24"/>
      <c r="QOE8" s="24"/>
      <c r="QOF8" s="24"/>
      <c r="QOG8" s="24"/>
      <c r="QOH8" s="24"/>
      <c r="QOI8" s="24"/>
      <c r="QOJ8" s="24"/>
      <c r="QOK8" s="24"/>
      <c r="QOL8" s="24"/>
      <c r="QOM8" s="24"/>
      <c r="QON8" s="24"/>
      <c r="QOO8" s="24"/>
      <c r="QOP8" s="24"/>
      <c r="QOQ8" s="24"/>
      <c r="QOR8" s="24"/>
      <c r="QOS8" s="24"/>
      <c r="QOT8" s="24"/>
      <c r="QOU8" s="24"/>
      <c r="QOV8" s="24"/>
      <c r="QOW8" s="24"/>
      <c r="QOX8" s="24"/>
      <c r="QOY8" s="24"/>
      <c r="QOZ8" s="24"/>
      <c r="QPA8" s="24"/>
      <c r="QPB8" s="24"/>
      <c r="QPC8" s="24"/>
      <c r="QPD8" s="24"/>
      <c r="QPE8" s="24"/>
      <c r="QPF8" s="24"/>
      <c r="QPG8" s="24"/>
      <c r="QPH8" s="24"/>
      <c r="QPI8" s="24"/>
      <c r="QPJ8" s="24"/>
      <c r="QPK8" s="24"/>
      <c r="QPL8" s="24"/>
      <c r="QPM8" s="24"/>
      <c r="QPN8" s="24"/>
      <c r="QPO8" s="24"/>
      <c r="QPP8" s="24"/>
      <c r="QPQ8" s="24"/>
      <c r="QPR8" s="24"/>
      <c r="QPS8" s="24"/>
      <c r="QPT8" s="24"/>
      <c r="QPU8" s="24"/>
      <c r="QPV8" s="24"/>
      <c r="QPW8" s="24"/>
      <c r="QPX8" s="24"/>
      <c r="QPY8" s="24"/>
      <c r="QPZ8" s="24"/>
      <c r="QQA8" s="24"/>
      <c r="QQB8" s="24"/>
      <c r="QQC8" s="24"/>
      <c r="QQD8" s="24"/>
      <c r="QQE8" s="24"/>
      <c r="QQF8" s="24"/>
      <c r="QQG8" s="24"/>
      <c r="QQH8" s="24"/>
      <c r="QQI8" s="24"/>
      <c r="QQJ8" s="24"/>
      <c r="QQK8" s="24"/>
      <c r="QQL8" s="24"/>
      <c r="QQM8" s="24"/>
      <c r="QQN8" s="24"/>
      <c r="QQO8" s="24"/>
      <c r="QQP8" s="24"/>
      <c r="QQQ8" s="24"/>
      <c r="QQR8" s="24"/>
      <c r="QQS8" s="24"/>
      <c r="QQT8" s="24"/>
      <c r="QQU8" s="24"/>
      <c r="QQV8" s="24"/>
      <c r="QQW8" s="24"/>
      <c r="QQX8" s="24"/>
      <c r="QQY8" s="24"/>
      <c r="QQZ8" s="24"/>
      <c r="QRA8" s="24"/>
      <c r="QRB8" s="24"/>
      <c r="QRC8" s="24"/>
      <c r="QRD8" s="24"/>
      <c r="QRE8" s="24"/>
      <c r="QRF8" s="24"/>
      <c r="QRG8" s="24"/>
      <c r="QRH8" s="24"/>
      <c r="QRI8" s="24"/>
      <c r="QRJ8" s="24"/>
      <c r="QRK8" s="24"/>
      <c r="QRL8" s="24"/>
      <c r="QRM8" s="24"/>
      <c r="QRN8" s="24"/>
      <c r="QRO8" s="24"/>
      <c r="QRP8" s="24"/>
      <c r="QRQ8" s="24"/>
      <c r="QRR8" s="24"/>
      <c r="QRS8" s="24"/>
      <c r="QRT8" s="24"/>
      <c r="QRU8" s="24"/>
      <c r="QRV8" s="24"/>
      <c r="QRW8" s="24"/>
      <c r="QRX8" s="24"/>
      <c r="QRY8" s="24"/>
      <c r="QRZ8" s="24"/>
      <c r="QSA8" s="24"/>
      <c r="QSB8" s="24"/>
      <c r="QSC8" s="24"/>
      <c r="QSD8" s="24"/>
      <c r="QSE8" s="24"/>
      <c r="QSF8" s="24"/>
      <c r="QSG8" s="24"/>
      <c r="QSH8" s="24"/>
      <c r="QSI8" s="24"/>
      <c r="QSJ8" s="24"/>
      <c r="QSK8" s="24"/>
      <c r="QSL8" s="24"/>
      <c r="QSM8" s="24"/>
      <c r="QSN8" s="24"/>
      <c r="QSO8" s="24"/>
      <c r="QSP8" s="24"/>
      <c r="QSQ8" s="24"/>
      <c r="QSR8" s="24"/>
      <c r="QSS8" s="24"/>
      <c r="QST8" s="24"/>
      <c r="QSU8" s="24"/>
      <c r="QSV8" s="24"/>
      <c r="QSW8" s="24"/>
      <c r="QSX8" s="24"/>
      <c r="QSY8" s="24"/>
      <c r="QSZ8" s="24"/>
      <c r="QTA8" s="24"/>
      <c r="QTB8" s="24"/>
      <c r="QTC8" s="24"/>
      <c r="QTD8" s="24"/>
      <c r="QTE8" s="24"/>
      <c r="QTF8" s="24"/>
      <c r="QTG8" s="24"/>
      <c r="QTH8" s="24"/>
      <c r="QTI8" s="24"/>
      <c r="QTJ8" s="24"/>
      <c r="QTK8" s="24"/>
      <c r="QTL8" s="24"/>
      <c r="QTM8" s="24"/>
      <c r="QTN8" s="24"/>
      <c r="QTO8" s="24"/>
      <c r="QTP8" s="24"/>
      <c r="QTQ8" s="24"/>
      <c r="QTR8" s="24"/>
      <c r="QTS8" s="24"/>
      <c r="QTT8" s="24"/>
      <c r="QTU8" s="24"/>
      <c r="QTV8" s="24"/>
      <c r="QTW8" s="24"/>
      <c r="QTX8" s="24"/>
      <c r="QTY8" s="24"/>
      <c r="QTZ8" s="24"/>
      <c r="QUA8" s="24"/>
      <c r="QUB8" s="24"/>
      <c r="QUC8" s="24"/>
      <c r="QUD8" s="24"/>
      <c r="QUE8" s="24"/>
      <c r="QUF8" s="24"/>
      <c r="QUG8" s="24"/>
      <c r="QUH8" s="24"/>
      <c r="QUI8" s="24"/>
      <c r="QUJ8" s="24"/>
      <c r="QUK8" s="24"/>
      <c r="QUL8" s="24"/>
      <c r="QUM8" s="24"/>
      <c r="QUN8" s="24"/>
      <c r="QUO8" s="24"/>
      <c r="QUP8" s="24"/>
      <c r="QUQ8" s="24"/>
      <c r="QUR8" s="24"/>
      <c r="QUS8" s="24"/>
      <c r="QUT8" s="24"/>
      <c r="QUU8" s="24"/>
      <c r="QUV8" s="24"/>
      <c r="QUW8" s="24"/>
      <c r="QUX8" s="24"/>
      <c r="QUY8" s="24"/>
      <c r="QUZ8" s="24"/>
      <c r="QVA8" s="24"/>
      <c r="QVB8" s="24"/>
      <c r="QVC8" s="24"/>
      <c r="QVD8" s="24"/>
      <c r="QVE8" s="24"/>
      <c r="QVF8" s="24"/>
      <c r="QVG8" s="24"/>
      <c r="QVH8" s="24"/>
      <c r="QVI8" s="24"/>
      <c r="QVJ8" s="24"/>
      <c r="QVK8" s="24"/>
      <c r="QVL8" s="24"/>
      <c r="QVM8" s="24"/>
      <c r="QVN8" s="24"/>
      <c r="QVO8" s="24"/>
      <c r="QVP8" s="24"/>
      <c r="QVQ8" s="24"/>
      <c r="QVR8" s="24"/>
      <c r="QVS8" s="24"/>
      <c r="QVT8" s="24"/>
      <c r="QVU8" s="24"/>
      <c r="QVV8" s="24"/>
      <c r="QVW8" s="24"/>
      <c r="QVX8" s="24"/>
      <c r="QVY8" s="24"/>
      <c r="QVZ8" s="24"/>
      <c r="QWA8" s="24"/>
      <c r="QWB8" s="24"/>
      <c r="QWC8" s="24"/>
      <c r="QWD8" s="24"/>
      <c r="QWE8" s="24"/>
      <c r="QWF8" s="24"/>
      <c r="QWG8" s="24"/>
      <c r="QWH8" s="24"/>
      <c r="QWI8" s="24"/>
      <c r="QWJ8" s="24"/>
      <c r="QWK8" s="24"/>
      <c r="QWL8" s="24"/>
      <c r="QWM8" s="24"/>
      <c r="QWN8" s="24"/>
      <c r="QWO8" s="24"/>
      <c r="QWP8" s="24"/>
      <c r="QWQ8" s="24"/>
      <c r="QWR8" s="24"/>
      <c r="QWS8" s="24"/>
      <c r="QWT8" s="24"/>
      <c r="QWU8" s="24"/>
      <c r="QWV8" s="24"/>
      <c r="QWW8" s="24"/>
      <c r="QWX8" s="24"/>
      <c r="QWY8" s="24"/>
      <c r="QWZ8" s="24"/>
      <c r="QXA8" s="24"/>
      <c r="QXB8" s="24"/>
      <c r="QXC8" s="24"/>
      <c r="QXD8" s="24"/>
      <c r="QXE8" s="24"/>
      <c r="QXF8" s="24"/>
      <c r="QXG8" s="24"/>
      <c r="QXH8" s="24"/>
      <c r="QXI8" s="24"/>
      <c r="QXJ8" s="24"/>
      <c r="QXK8" s="24"/>
      <c r="QXL8" s="24"/>
      <c r="QXM8" s="24"/>
      <c r="QXN8" s="24"/>
      <c r="QXO8" s="24"/>
      <c r="QXP8" s="24"/>
      <c r="QXQ8" s="24"/>
      <c r="QXR8" s="24"/>
      <c r="QXS8" s="24"/>
      <c r="QXT8" s="24"/>
      <c r="QXU8" s="24"/>
      <c r="QXV8" s="24"/>
      <c r="QXW8" s="24"/>
      <c r="QXX8" s="24"/>
      <c r="QXY8" s="24"/>
      <c r="QXZ8" s="24"/>
      <c r="QYA8" s="24"/>
      <c r="QYB8" s="24"/>
      <c r="QYC8" s="24"/>
      <c r="QYD8" s="24"/>
      <c r="QYE8" s="24"/>
      <c r="QYF8" s="24"/>
      <c r="QYG8" s="24"/>
      <c r="QYH8" s="24"/>
      <c r="QYI8" s="24"/>
      <c r="QYJ8" s="24"/>
      <c r="QYK8" s="24"/>
      <c r="QYL8" s="24"/>
      <c r="QYM8" s="24"/>
      <c r="QYN8" s="24"/>
      <c r="QYO8" s="24"/>
      <c r="QYP8" s="24"/>
      <c r="QYQ8" s="24"/>
      <c r="QYR8" s="24"/>
      <c r="QYS8" s="24"/>
      <c r="QYT8" s="24"/>
      <c r="QYU8" s="24"/>
      <c r="QYV8" s="24"/>
      <c r="QYW8" s="24"/>
      <c r="QYX8" s="24"/>
      <c r="QYY8" s="24"/>
      <c r="QYZ8" s="24"/>
      <c r="QZA8" s="24"/>
      <c r="QZB8" s="24"/>
      <c r="QZC8" s="24"/>
      <c r="QZD8" s="24"/>
      <c r="QZE8" s="24"/>
      <c r="QZF8" s="24"/>
      <c r="QZG8" s="24"/>
      <c r="QZH8" s="24"/>
      <c r="QZI8" s="24"/>
      <c r="QZJ8" s="24"/>
      <c r="QZK8" s="24"/>
      <c r="QZL8" s="24"/>
      <c r="QZM8" s="24"/>
      <c r="QZN8" s="24"/>
      <c r="QZO8" s="24"/>
      <c r="QZP8" s="24"/>
      <c r="QZQ8" s="24"/>
      <c r="QZR8" s="24"/>
      <c r="QZS8" s="24"/>
      <c r="QZT8" s="24"/>
      <c r="QZU8" s="24"/>
      <c r="QZV8" s="24"/>
      <c r="QZW8" s="24"/>
      <c r="QZX8" s="24"/>
      <c r="QZY8" s="24"/>
      <c r="QZZ8" s="24"/>
      <c r="RAA8" s="24"/>
      <c r="RAB8" s="24"/>
      <c r="RAC8" s="24"/>
      <c r="RAD8" s="24"/>
      <c r="RAE8" s="24"/>
      <c r="RAF8" s="24"/>
      <c r="RAG8" s="24"/>
      <c r="RAH8" s="24"/>
      <c r="RAI8" s="24"/>
      <c r="RAJ8" s="24"/>
      <c r="RAK8" s="24"/>
      <c r="RAL8" s="24"/>
      <c r="RAM8" s="24"/>
      <c r="RAN8" s="24"/>
      <c r="RAO8" s="24"/>
      <c r="RAP8" s="24"/>
      <c r="RAQ8" s="24"/>
      <c r="RAR8" s="24"/>
      <c r="RAS8" s="24"/>
      <c r="RAT8" s="24"/>
      <c r="RAU8" s="24"/>
      <c r="RAV8" s="24"/>
      <c r="RAW8" s="24"/>
      <c r="RAX8" s="24"/>
      <c r="RAY8" s="24"/>
      <c r="RAZ8" s="24"/>
      <c r="RBA8" s="24"/>
      <c r="RBB8" s="24"/>
      <c r="RBC8" s="24"/>
      <c r="RBD8" s="24"/>
      <c r="RBE8" s="24"/>
      <c r="RBF8" s="24"/>
      <c r="RBG8" s="24"/>
      <c r="RBH8" s="24"/>
      <c r="RBI8" s="24"/>
      <c r="RBJ8" s="24"/>
      <c r="RBK8" s="24"/>
      <c r="RBL8" s="24"/>
      <c r="RBM8" s="24"/>
      <c r="RBN8" s="24"/>
      <c r="RBO8" s="24"/>
      <c r="RBP8" s="24"/>
      <c r="RBQ8" s="24"/>
      <c r="RBR8" s="24"/>
      <c r="RBS8" s="24"/>
      <c r="RBT8" s="24"/>
      <c r="RBU8" s="24"/>
      <c r="RBV8" s="24"/>
      <c r="RBW8" s="24"/>
      <c r="RBX8" s="24"/>
      <c r="RBY8" s="24"/>
      <c r="RBZ8" s="24"/>
      <c r="RCA8" s="24"/>
      <c r="RCB8" s="24"/>
      <c r="RCC8" s="24"/>
      <c r="RCD8" s="24"/>
      <c r="RCE8" s="24"/>
      <c r="RCF8" s="24"/>
      <c r="RCG8" s="24"/>
      <c r="RCH8" s="24"/>
      <c r="RCI8" s="24"/>
      <c r="RCJ8" s="24"/>
      <c r="RCK8" s="24"/>
      <c r="RCL8" s="24"/>
      <c r="RCM8" s="24"/>
      <c r="RCN8" s="24"/>
      <c r="RCO8" s="24"/>
      <c r="RCP8" s="24"/>
      <c r="RCQ8" s="24"/>
      <c r="RCR8" s="24"/>
      <c r="RCS8" s="24"/>
      <c r="RCT8" s="24"/>
      <c r="RCU8" s="24"/>
      <c r="RCV8" s="24"/>
      <c r="RCW8" s="24"/>
      <c r="RCX8" s="24"/>
      <c r="RCY8" s="24"/>
      <c r="RCZ8" s="24"/>
      <c r="RDA8" s="24"/>
      <c r="RDB8" s="24"/>
      <c r="RDC8" s="24"/>
      <c r="RDD8" s="24"/>
      <c r="RDE8" s="24"/>
      <c r="RDF8" s="24"/>
      <c r="RDG8" s="24"/>
      <c r="RDH8" s="24"/>
      <c r="RDI8" s="24"/>
      <c r="RDJ8" s="24"/>
      <c r="RDK8" s="24"/>
      <c r="RDL8" s="24"/>
      <c r="RDM8" s="24"/>
      <c r="RDN8" s="24"/>
      <c r="RDO8" s="24"/>
      <c r="RDP8" s="24"/>
      <c r="RDQ8" s="24"/>
      <c r="RDR8" s="24"/>
      <c r="RDS8" s="24"/>
      <c r="RDT8" s="24"/>
      <c r="RDU8" s="24"/>
      <c r="RDV8" s="24"/>
      <c r="RDW8" s="24"/>
      <c r="RDX8" s="24"/>
      <c r="RDY8" s="24"/>
      <c r="RDZ8" s="24"/>
      <c r="REA8" s="24"/>
      <c r="REB8" s="24"/>
      <c r="REC8" s="24"/>
      <c r="RED8" s="24"/>
      <c r="REE8" s="24"/>
      <c r="REF8" s="24"/>
      <c r="REG8" s="24"/>
      <c r="REH8" s="24"/>
      <c r="REI8" s="24"/>
      <c r="REJ8" s="24"/>
      <c r="REK8" s="24"/>
      <c r="REL8" s="24"/>
      <c r="REM8" s="24"/>
      <c r="REN8" s="24"/>
      <c r="REO8" s="24"/>
      <c r="REP8" s="24"/>
      <c r="REQ8" s="24"/>
      <c r="RER8" s="24"/>
      <c r="RES8" s="24"/>
      <c r="RET8" s="24"/>
      <c r="REU8" s="24"/>
      <c r="REV8" s="24"/>
      <c r="REW8" s="24"/>
      <c r="REX8" s="24"/>
      <c r="REY8" s="24"/>
      <c r="REZ8" s="24"/>
      <c r="RFA8" s="24"/>
      <c r="RFB8" s="24"/>
      <c r="RFC8" s="24"/>
      <c r="RFD8" s="24"/>
      <c r="RFE8" s="24"/>
      <c r="RFF8" s="24"/>
      <c r="RFG8" s="24"/>
      <c r="RFH8" s="24"/>
      <c r="RFI8" s="24"/>
      <c r="RFJ8" s="24"/>
      <c r="RFK8" s="24"/>
      <c r="RFL8" s="24"/>
      <c r="RFM8" s="24"/>
      <c r="RFN8" s="24"/>
      <c r="RFO8" s="24"/>
      <c r="RFP8" s="24"/>
      <c r="RFQ8" s="24"/>
      <c r="RFR8" s="24"/>
      <c r="RFS8" s="24"/>
      <c r="RFT8" s="24"/>
      <c r="RFU8" s="24"/>
      <c r="RFV8" s="24"/>
      <c r="RFW8" s="24"/>
      <c r="RFX8" s="24"/>
      <c r="RFY8" s="24"/>
      <c r="RFZ8" s="24"/>
      <c r="RGA8" s="24"/>
      <c r="RGB8" s="24"/>
      <c r="RGC8" s="24"/>
      <c r="RGD8" s="24"/>
      <c r="RGE8" s="24"/>
      <c r="RGF8" s="24"/>
      <c r="RGG8" s="24"/>
      <c r="RGH8" s="24"/>
      <c r="RGI8" s="24"/>
      <c r="RGJ8" s="24"/>
      <c r="RGK8" s="24"/>
      <c r="RGL8" s="24"/>
      <c r="RGM8" s="24"/>
      <c r="RGN8" s="24"/>
      <c r="RGO8" s="24"/>
      <c r="RGP8" s="24"/>
      <c r="RGQ8" s="24"/>
      <c r="RGR8" s="24"/>
      <c r="RGS8" s="24"/>
      <c r="RGT8" s="24"/>
      <c r="RGU8" s="24"/>
      <c r="RGV8" s="24"/>
      <c r="RGW8" s="24"/>
      <c r="RGX8" s="24"/>
      <c r="RGY8" s="24"/>
      <c r="RGZ8" s="24"/>
      <c r="RHA8" s="24"/>
      <c r="RHB8" s="24"/>
      <c r="RHC8" s="24"/>
      <c r="RHD8" s="24"/>
      <c r="RHE8" s="24"/>
      <c r="RHF8" s="24"/>
      <c r="RHG8" s="24"/>
      <c r="RHH8" s="24"/>
      <c r="RHI8" s="24"/>
      <c r="RHJ8" s="24"/>
      <c r="RHK8" s="24"/>
      <c r="RHL8" s="24"/>
      <c r="RHM8" s="24"/>
      <c r="RHN8" s="24"/>
      <c r="RHO8" s="24"/>
      <c r="RHP8" s="24"/>
      <c r="RHQ8" s="24"/>
      <c r="RHR8" s="24"/>
      <c r="RHS8" s="24"/>
      <c r="RHT8" s="24"/>
      <c r="RHU8" s="24"/>
      <c r="RHV8" s="24"/>
      <c r="RHW8" s="24"/>
      <c r="RHX8" s="24"/>
      <c r="RHY8" s="24"/>
      <c r="RHZ8" s="24"/>
      <c r="RIA8" s="24"/>
      <c r="RIB8" s="24"/>
      <c r="RIC8" s="24"/>
      <c r="RID8" s="24"/>
      <c r="RIE8" s="24"/>
      <c r="RIF8" s="24"/>
      <c r="RIG8" s="24"/>
      <c r="RIH8" s="24"/>
      <c r="RII8" s="24"/>
      <c r="RIJ8" s="24"/>
      <c r="RIK8" s="24"/>
      <c r="RIL8" s="24"/>
      <c r="RIM8" s="24"/>
      <c r="RIN8" s="24"/>
      <c r="RIO8" s="24"/>
      <c r="RIP8" s="24"/>
      <c r="RIQ8" s="24"/>
      <c r="RIR8" s="24"/>
      <c r="RIS8" s="24"/>
      <c r="RIT8" s="24"/>
      <c r="RIU8" s="24"/>
      <c r="RIV8" s="24"/>
      <c r="RIW8" s="24"/>
      <c r="RIX8" s="24"/>
      <c r="RIY8" s="24"/>
      <c r="RIZ8" s="24"/>
      <c r="RJA8" s="24"/>
      <c r="RJB8" s="24"/>
      <c r="RJC8" s="24"/>
      <c r="RJD8" s="24"/>
      <c r="RJE8" s="24"/>
      <c r="RJF8" s="24"/>
      <c r="RJG8" s="24"/>
      <c r="RJH8" s="24"/>
      <c r="RJI8" s="24"/>
      <c r="RJJ8" s="24"/>
      <c r="RJK8" s="24"/>
      <c r="RJL8" s="24"/>
      <c r="RJM8" s="24"/>
      <c r="RJN8" s="24"/>
      <c r="RJO8" s="24"/>
      <c r="RJP8" s="24"/>
      <c r="RJQ8" s="24"/>
      <c r="RJR8" s="24"/>
      <c r="RJS8" s="24"/>
      <c r="RJT8" s="24"/>
      <c r="RJU8" s="24"/>
      <c r="RJV8" s="24"/>
      <c r="RJW8" s="24"/>
      <c r="RJX8" s="24"/>
      <c r="RJY8" s="24"/>
      <c r="RJZ8" s="24"/>
      <c r="RKA8" s="24"/>
      <c r="RKB8" s="24"/>
      <c r="RKC8" s="24"/>
      <c r="RKD8" s="24"/>
      <c r="RKE8" s="24"/>
      <c r="RKF8" s="24"/>
      <c r="RKG8" s="24"/>
      <c r="RKH8" s="24"/>
      <c r="RKI8" s="24"/>
      <c r="RKJ8" s="24"/>
      <c r="RKK8" s="24"/>
      <c r="RKL8" s="24"/>
      <c r="RKM8" s="24"/>
      <c r="RKN8" s="24"/>
      <c r="RKO8" s="24"/>
      <c r="RKP8" s="24"/>
      <c r="RKQ8" s="24"/>
      <c r="RKR8" s="24"/>
      <c r="RKS8" s="24"/>
      <c r="RKT8" s="24"/>
      <c r="RKU8" s="24"/>
      <c r="RKV8" s="24"/>
      <c r="RKW8" s="24"/>
      <c r="RKX8" s="24"/>
      <c r="RKY8" s="24"/>
      <c r="RKZ8" s="24"/>
      <c r="RLA8" s="24"/>
      <c r="RLB8" s="24"/>
      <c r="RLC8" s="24"/>
      <c r="RLD8" s="24"/>
      <c r="RLE8" s="24"/>
      <c r="RLF8" s="24"/>
      <c r="RLG8" s="24"/>
      <c r="RLH8" s="24"/>
      <c r="RLI8" s="24"/>
      <c r="RLJ8" s="24"/>
      <c r="RLK8" s="24"/>
      <c r="RLL8" s="24"/>
      <c r="RLM8" s="24"/>
      <c r="RLN8" s="24"/>
      <c r="RLO8" s="24"/>
      <c r="RLP8" s="24"/>
      <c r="RLQ8" s="24"/>
      <c r="RLR8" s="24"/>
      <c r="RLS8" s="24"/>
      <c r="RLT8" s="24"/>
      <c r="RLU8" s="24"/>
      <c r="RLV8" s="24"/>
      <c r="RLW8" s="24"/>
      <c r="RLX8" s="24"/>
      <c r="RLY8" s="24"/>
      <c r="RLZ8" s="24"/>
      <c r="RMA8" s="24"/>
      <c r="RMB8" s="24"/>
      <c r="RMC8" s="24"/>
      <c r="RMD8" s="24"/>
      <c r="RME8" s="24"/>
      <c r="RMF8" s="24"/>
      <c r="RMG8" s="24"/>
      <c r="RMH8" s="24"/>
      <c r="RMI8" s="24"/>
      <c r="RMJ8" s="24"/>
      <c r="RMK8" s="24"/>
      <c r="RML8" s="24"/>
      <c r="RMM8" s="24"/>
      <c r="RMN8" s="24"/>
      <c r="RMO8" s="24"/>
      <c r="RMP8" s="24"/>
      <c r="RMQ8" s="24"/>
      <c r="RMR8" s="24"/>
      <c r="RMS8" s="24"/>
      <c r="RMT8" s="24"/>
      <c r="RMU8" s="24"/>
      <c r="RMV8" s="24"/>
      <c r="RMW8" s="24"/>
      <c r="RMX8" s="24"/>
      <c r="RMY8" s="24"/>
      <c r="RMZ8" s="24"/>
      <c r="RNA8" s="24"/>
      <c r="RNB8" s="24"/>
      <c r="RNC8" s="24"/>
      <c r="RND8" s="24"/>
      <c r="RNE8" s="24"/>
      <c r="RNF8" s="24"/>
      <c r="RNG8" s="24"/>
      <c r="RNH8" s="24"/>
      <c r="RNI8" s="24"/>
      <c r="RNJ8" s="24"/>
      <c r="RNK8" s="24"/>
      <c r="RNL8" s="24"/>
      <c r="RNM8" s="24"/>
      <c r="RNN8" s="24"/>
      <c r="RNO8" s="24"/>
      <c r="RNP8" s="24"/>
      <c r="RNQ8" s="24"/>
      <c r="RNR8" s="24"/>
      <c r="RNS8" s="24"/>
      <c r="RNT8" s="24"/>
      <c r="RNU8" s="24"/>
      <c r="RNV8" s="24"/>
      <c r="RNW8" s="24"/>
      <c r="RNX8" s="24"/>
      <c r="RNY8" s="24"/>
      <c r="RNZ8" s="24"/>
      <c r="ROA8" s="24"/>
      <c r="ROB8" s="24"/>
      <c r="ROC8" s="24"/>
      <c r="ROD8" s="24"/>
      <c r="ROE8" s="24"/>
      <c r="ROF8" s="24"/>
      <c r="ROG8" s="24"/>
      <c r="ROH8" s="24"/>
      <c r="ROI8" s="24"/>
      <c r="ROJ8" s="24"/>
      <c r="ROK8" s="24"/>
      <c r="ROL8" s="24"/>
      <c r="ROM8" s="24"/>
      <c r="RON8" s="24"/>
      <c r="ROO8" s="24"/>
      <c r="ROP8" s="24"/>
      <c r="ROQ8" s="24"/>
      <c r="ROR8" s="24"/>
      <c r="ROS8" s="24"/>
      <c r="ROT8" s="24"/>
      <c r="ROU8" s="24"/>
      <c r="ROV8" s="24"/>
      <c r="ROW8" s="24"/>
      <c r="ROX8" s="24"/>
      <c r="ROY8" s="24"/>
      <c r="ROZ8" s="24"/>
      <c r="RPA8" s="24"/>
      <c r="RPB8" s="24"/>
      <c r="RPC8" s="24"/>
      <c r="RPD8" s="24"/>
      <c r="RPE8" s="24"/>
      <c r="RPF8" s="24"/>
      <c r="RPG8" s="24"/>
      <c r="RPH8" s="24"/>
      <c r="RPI8" s="24"/>
      <c r="RPJ8" s="24"/>
      <c r="RPK8" s="24"/>
      <c r="RPL8" s="24"/>
      <c r="RPM8" s="24"/>
      <c r="RPN8" s="24"/>
      <c r="RPO8" s="24"/>
      <c r="RPP8" s="24"/>
      <c r="RPQ8" s="24"/>
      <c r="RPR8" s="24"/>
      <c r="RPS8" s="24"/>
      <c r="RPT8" s="24"/>
      <c r="RPU8" s="24"/>
      <c r="RPV8" s="24"/>
      <c r="RPW8" s="24"/>
      <c r="RPX8" s="24"/>
      <c r="RPY8" s="24"/>
      <c r="RPZ8" s="24"/>
      <c r="RQA8" s="24"/>
      <c r="RQB8" s="24"/>
      <c r="RQC8" s="24"/>
      <c r="RQD8" s="24"/>
      <c r="RQE8" s="24"/>
      <c r="RQF8" s="24"/>
      <c r="RQG8" s="24"/>
      <c r="RQH8" s="24"/>
      <c r="RQI8" s="24"/>
      <c r="RQJ8" s="24"/>
      <c r="RQK8" s="24"/>
      <c r="RQL8" s="24"/>
      <c r="RQM8" s="24"/>
      <c r="RQN8" s="24"/>
      <c r="RQO8" s="24"/>
      <c r="RQP8" s="24"/>
      <c r="RQQ8" s="24"/>
      <c r="RQR8" s="24"/>
      <c r="RQS8" s="24"/>
      <c r="RQT8" s="24"/>
      <c r="RQU8" s="24"/>
      <c r="RQV8" s="24"/>
      <c r="RQW8" s="24"/>
      <c r="RQX8" s="24"/>
      <c r="RQY8" s="24"/>
      <c r="RQZ8" s="24"/>
      <c r="RRA8" s="24"/>
      <c r="RRB8" s="24"/>
      <c r="RRC8" s="24"/>
      <c r="RRD8" s="24"/>
      <c r="RRE8" s="24"/>
      <c r="RRF8" s="24"/>
      <c r="RRG8" s="24"/>
      <c r="RRH8" s="24"/>
      <c r="RRI8" s="24"/>
      <c r="RRJ8" s="24"/>
      <c r="RRK8" s="24"/>
      <c r="RRL8" s="24"/>
      <c r="RRM8" s="24"/>
      <c r="RRN8" s="24"/>
      <c r="RRO8" s="24"/>
      <c r="RRP8" s="24"/>
      <c r="RRQ8" s="24"/>
      <c r="RRR8" s="24"/>
      <c r="RRS8" s="24"/>
      <c r="RRT8" s="24"/>
      <c r="RRU8" s="24"/>
      <c r="RRV8" s="24"/>
      <c r="RRW8" s="24"/>
      <c r="RRX8" s="24"/>
      <c r="RRY8" s="24"/>
      <c r="RRZ8" s="24"/>
      <c r="RSA8" s="24"/>
      <c r="RSB8" s="24"/>
      <c r="RSC8" s="24"/>
      <c r="RSD8" s="24"/>
      <c r="RSE8" s="24"/>
      <c r="RSF8" s="24"/>
      <c r="RSG8" s="24"/>
      <c r="RSH8" s="24"/>
      <c r="RSI8" s="24"/>
      <c r="RSJ8" s="24"/>
      <c r="RSK8" s="24"/>
      <c r="RSL8" s="24"/>
      <c r="RSM8" s="24"/>
      <c r="RSN8" s="24"/>
      <c r="RSO8" s="24"/>
      <c r="RSP8" s="24"/>
      <c r="RSQ8" s="24"/>
      <c r="RSR8" s="24"/>
      <c r="RSS8" s="24"/>
      <c r="RST8" s="24"/>
      <c r="RSU8" s="24"/>
      <c r="RSV8" s="24"/>
      <c r="RSW8" s="24"/>
      <c r="RSX8" s="24"/>
      <c r="RSY8" s="24"/>
      <c r="RSZ8" s="24"/>
      <c r="RTA8" s="24"/>
      <c r="RTB8" s="24"/>
      <c r="RTC8" s="24"/>
      <c r="RTD8" s="24"/>
      <c r="RTE8" s="24"/>
      <c r="RTF8" s="24"/>
      <c r="RTG8" s="24"/>
      <c r="RTH8" s="24"/>
      <c r="RTI8" s="24"/>
      <c r="RTJ8" s="24"/>
      <c r="RTK8" s="24"/>
      <c r="RTL8" s="24"/>
      <c r="RTM8" s="24"/>
      <c r="RTN8" s="24"/>
      <c r="RTO8" s="24"/>
      <c r="RTP8" s="24"/>
      <c r="RTQ8" s="24"/>
      <c r="RTR8" s="24"/>
      <c r="RTS8" s="24"/>
      <c r="RTT8" s="24"/>
      <c r="RTU8" s="24"/>
      <c r="RTV8" s="24"/>
      <c r="RTW8" s="24"/>
      <c r="RTX8" s="24"/>
      <c r="RTY8" s="24"/>
      <c r="RTZ8" s="24"/>
      <c r="RUA8" s="24"/>
      <c r="RUB8" s="24"/>
      <c r="RUC8" s="24"/>
      <c r="RUD8" s="24"/>
      <c r="RUE8" s="24"/>
      <c r="RUF8" s="24"/>
      <c r="RUG8" s="24"/>
      <c r="RUH8" s="24"/>
      <c r="RUI8" s="24"/>
      <c r="RUJ8" s="24"/>
      <c r="RUK8" s="24"/>
      <c r="RUL8" s="24"/>
      <c r="RUM8" s="24"/>
      <c r="RUN8" s="24"/>
      <c r="RUO8" s="24"/>
      <c r="RUP8" s="24"/>
      <c r="RUQ8" s="24"/>
      <c r="RUR8" s="24"/>
      <c r="RUS8" s="24"/>
      <c r="RUT8" s="24"/>
      <c r="RUU8" s="24"/>
      <c r="RUV8" s="24"/>
      <c r="RUW8" s="24"/>
      <c r="RUX8" s="24"/>
      <c r="RUY8" s="24"/>
      <c r="RUZ8" s="24"/>
      <c r="RVA8" s="24"/>
      <c r="RVB8" s="24"/>
      <c r="RVC8" s="24"/>
      <c r="RVD8" s="24"/>
      <c r="RVE8" s="24"/>
      <c r="RVF8" s="24"/>
      <c r="RVG8" s="24"/>
      <c r="RVH8" s="24"/>
      <c r="RVI8" s="24"/>
      <c r="RVJ8" s="24"/>
      <c r="RVK8" s="24"/>
      <c r="RVL8" s="24"/>
      <c r="RVM8" s="24"/>
      <c r="RVN8" s="24"/>
      <c r="RVO8" s="24"/>
      <c r="RVP8" s="24"/>
      <c r="RVQ8" s="24"/>
      <c r="RVR8" s="24"/>
      <c r="RVS8" s="24"/>
      <c r="RVT8" s="24"/>
      <c r="RVU8" s="24"/>
      <c r="RVV8" s="24"/>
      <c r="RVW8" s="24"/>
      <c r="RVX8" s="24"/>
      <c r="RVY8" s="24"/>
      <c r="RVZ8" s="24"/>
      <c r="RWA8" s="24"/>
      <c r="RWB8" s="24"/>
      <c r="RWC8" s="24"/>
      <c r="RWD8" s="24"/>
      <c r="RWE8" s="24"/>
      <c r="RWF8" s="24"/>
      <c r="RWG8" s="24"/>
      <c r="RWH8" s="24"/>
      <c r="RWI8" s="24"/>
      <c r="RWJ8" s="24"/>
      <c r="RWK8" s="24"/>
      <c r="RWL8" s="24"/>
      <c r="RWM8" s="24"/>
      <c r="RWN8" s="24"/>
      <c r="RWO8" s="24"/>
      <c r="RWP8" s="24"/>
      <c r="RWQ8" s="24"/>
      <c r="RWR8" s="24"/>
      <c r="RWS8" s="24"/>
      <c r="RWT8" s="24"/>
      <c r="RWU8" s="24"/>
      <c r="RWV8" s="24"/>
      <c r="RWW8" s="24"/>
      <c r="RWX8" s="24"/>
      <c r="RWY8" s="24"/>
      <c r="RWZ8" s="24"/>
      <c r="RXA8" s="24"/>
      <c r="RXB8" s="24"/>
      <c r="RXC8" s="24"/>
      <c r="RXD8" s="24"/>
      <c r="RXE8" s="24"/>
      <c r="RXF8" s="24"/>
      <c r="RXG8" s="24"/>
      <c r="RXH8" s="24"/>
      <c r="RXI8" s="24"/>
      <c r="RXJ8" s="24"/>
      <c r="RXK8" s="24"/>
      <c r="RXL8" s="24"/>
      <c r="RXM8" s="24"/>
      <c r="RXN8" s="24"/>
      <c r="RXO8" s="24"/>
      <c r="RXP8" s="24"/>
      <c r="RXQ8" s="24"/>
      <c r="RXR8" s="24"/>
      <c r="RXS8" s="24"/>
      <c r="RXT8" s="24"/>
      <c r="RXU8" s="24"/>
      <c r="RXV8" s="24"/>
      <c r="RXW8" s="24"/>
      <c r="RXX8" s="24"/>
      <c r="RXY8" s="24"/>
      <c r="RXZ8" s="24"/>
      <c r="RYA8" s="24"/>
      <c r="RYB8" s="24"/>
      <c r="RYC8" s="24"/>
      <c r="RYD8" s="24"/>
      <c r="RYE8" s="24"/>
      <c r="RYF8" s="24"/>
      <c r="RYG8" s="24"/>
      <c r="RYH8" s="24"/>
      <c r="RYI8" s="24"/>
      <c r="RYJ8" s="24"/>
      <c r="RYK8" s="24"/>
      <c r="RYL8" s="24"/>
      <c r="RYM8" s="24"/>
      <c r="RYN8" s="24"/>
      <c r="RYO8" s="24"/>
      <c r="RYP8" s="24"/>
      <c r="RYQ8" s="24"/>
      <c r="RYR8" s="24"/>
      <c r="RYS8" s="24"/>
      <c r="RYT8" s="24"/>
      <c r="RYU8" s="24"/>
      <c r="RYV8" s="24"/>
      <c r="RYW8" s="24"/>
      <c r="RYX8" s="24"/>
      <c r="RYY8" s="24"/>
      <c r="RYZ8" s="24"/>
      <c r="RZA8" s="24"/>
      <c r="RZB8" s="24"/>
      <c r="RZC8" s="24"/>
      <c r="RZD8" s="24"/>
      <c r="RZE8" s="24"/>
      <c r="RZF8" s="24"/>
      <c r="RZG8" s="24"/>
      <c r="RZH8" s="24"/>
      <c r="RZI8" s="24"/>
      <c r="RZJ8" s="24"/>
      <c r="RZK8" s="24"/>
      <c r="RZL8" s="24"/>
      <c r="RZM8" s="24"/>
      <c r="RZN8" s="24"/>
      <c r="RZO8" s="24"/>
      <c r="RZP8" s="24"/>
      <c r="RZQ8" s="24"/>
      <c r="RZR8" s="24"/>
      <c r="RZS8" s="24"/>
      <c r="RZT8" s="24"/>
      <c r="RZU8" s="24"/>
      <c r="RZV8" s="24"/>
      <c r="RZW8" s="24"/>
      <c r="RZX8" s="24"/>
      <c r="RZY8" s="24"/>
      <c r="RZZ8" s="24"/>
      <c r="SAA8" s="24"/>
      <c r="SAB8" s="24"/>
      <c r="SAC8" s="24"/>
      <c r="SAD8" s="24"/>
      <c r="SAE8" s="24"/>
      <c r="SAF8" s="24"/>
      <c r="SAG8" s="24"/>
      <c r="SAH8" s="24"/>
      <c r="SAI8" s="24"/>
      <c r="SAJ8" s="24"/>
      <c r="SAK8" s="24"/>
      <c r="SAL8" s="24"/>
      <c r="SAM8" s="24"/>
      <c r="SAN8" s="24"/>
      <c r="SAO8" s="24"/>
      <c r="SAP8" s="24"/>
      <c r="SAQ8" s="24"/>
      <c r="SAR8" s="24"/>
      <c r="SAS8" s="24"/>
      <c r="SAT8" s="24"/>
      <c r="SAU8" s="24"/>
      <c r="SAV8" s="24"/>
      <c r="SAW8" s="24"/>
      <c r="SAX8" s="24"/>
      <c r="SAY8" s="24"/>
      <c r="SAZ8" s="24"/>
      <c r="SBA8" s="24"/>
      <c r="SBB8" s="24"/>
      <c r="SBC8" s="24"/>
      <c r="SBD8" s="24"/>
      <c r="SBE8" s="24"/>
      <c r="SBF8" s="24"/>
      <c r="SBG8" s="24"/>
      <c r="SBH8" s="24"/>
      <c r="SBI8" s="24"/>
      <c r="SBJ8" s="24"/>
      <c r="SBK8" s="24"/>
      <c r="SBL8" s="24"/>
      <c r="SBM8" s="24"/>
      <c r="SBN8" s="24"/>
      <c r="SBO8" s="24"/>
      <c r="SBP8" s="24"/>
      <c r="SBQ8" s="24"/>
      <c r="SBR8" s="24"/>
      <c r="SBS8" s="24"/>
      <c r="SBT8" s="24"/>
      <c r="SBU8" s="24"/>
      <c r="SBV8" s="24"/>
      <c r="SBW8" s="24"/>
      <c r="SBX8" s="24"/>
      <c r="SBY8" s="24"/>
      <c r="SBZ8" s="24"/>
      <c r="SCA8" s="24"/>
      <c r="SCB8" s="24"/>
      <c r="SCC8" s="24"/>
      <c r="SCD8" s="24"/>
      <c r="SCE8" s="24"/>
      <c r="SCF8" s="24"/>
      <c r="SCG8" s="24"/>
      <c r="SCH8" s="24"/>
      <c r="SCI8" s="24"/>
      <c r="SCJ8" s="24"/>
      <c r="SCK8" s="24"/>
      <c r="SCL8" s="24"/>
      <c r="SCM8" s="24"/>
      <c r="SCN8" s="24"/>
      <c r="SCO8" s="24"/>
      <c r="SCP8" s="24"/>
      <c r="SCQ8" s="24"/>
      <c r="SCR8" s="24"/>
      <c r="SCS8" s="24"/>
      <c r="SCT8" s="24"/>
      <c r="SCU8" s="24"/>
      <c r="SCV8" s="24"/>
      <c r="SCW8" s="24"/>
      <c r="SCX8" s="24"/>
      <c r="SCY8" s="24"/>
      <c r="SCZ8" s="24"/>
      <c r="SDA8" s="24"/>
      <c r="SDB8" s="24"/>
      <c r="SDC8" s="24"/>
      <c r="SDD8" s="24"/>
      <c r="SDE8" s="24"/>
      <c r="SDF8" s="24"/>
      <c r="SDG8" s="24"/>
      <c r="SDH8" s="24"/>
      <c r="SDI8" s="24"/>
      <c r="SDJ8" s="24"/>
      <c r="SDK8" s="24"/>
      <c r="SDL8" s="24"/>
      <c r="SDM8" s="24"/>
      <c r="SDN8" s="24"/>
      <c r="SDO8" s="24"/>
      <c r="SDP8" s="24"/>
      <c r="SDQ8" s="24"/>
      <c r="SDR8" s="24"/>
      <c r="SDS8" s="24"/>
      <c r="SDT8" s="24"/>
      <c r="SDU8" s="24"/>
      <c r="SDV8" s="24"/>
      <c r="SDW8" s="24"/>
      <c r="SDX8" s="24"/>
      <c r="SDY8" s="24"/>
      <c r="SDZ8" s="24"/>
      <c r="SEA8" s="24"/>
      <c r="SEB8" s="24"/>
      <c r="SEC8" s="24"/>
      <c r="SED8" s="24"/>
      <c r="SEE8" s="24"/>
      <c r="SEF8" s="24"/>
      <c r="SEG8" s="24"/>
      <c r="SEH8" s="24"/>
      <c r="SEI8" s="24"/>
      <c r="SEJ8" s="24"/>
      <c r="SEK8" s="24"/>
      <c r="SEL8" s="24"/>
      <c r="SEM8" s="24"/>
      <c r="SEN8" s="24"/>
      <c r="SEO8" s="24"/>
      <c r="SEP8" s="24"/>
      <c r="SEQ8" s="24"/>
      <c r="SER8" s="24"/>
      <c r="SES8" s="24"/>
      <c r="SET8" s="24"/>
      <c r="SEU8" s="24"/>
      <c r="SEV8" s="24"/>
      <c r="SEW8" s="24"/>
      <c r="SEX8" s="24"/>
      <c r="SEY8" s="24"/>
      <c r="SEZ8" s="24"/>
      <c r="SFA8" s="24"/>
      <c r="SFB8" s="24"/>
      <c r="SFC8" s="24"/>
      <c r="SFD8" s="24"/>
      <c r="SFE8" s="24"/>
      <c r="SFF8" s="24"/>
      <c r="SFG8" s="24"/>
      <c r="SFH8" s="24"/>
      <c r="SFI8" s="24"/>
      <c r="SFJ8" s="24"/>
      <c r="SFK8" s="24"/>
      <c r="SFL8" s="24"/>
      <c r="SFM8" s="24"/>
      <c r="SFN8" s="24"/>
      <c r="SFO8" s="24"/>
      <c r="SFP8" s="24"/>
      <c r="SFQ8" s="24"/>
      <c r="SFR8" s="24"/>
      <c r="SFS8" s="24"/>
      <c r="SFT8" s="24"/>
      <c r="SFU8" s="24"/>
      <c r="SFV8" s="24"/>
      <c r="SFW8" s="24"/>
      <c r="SFX8" s="24"/>
      <c r="SFY8" s="24"/>
      <c r="SFZ8" s="24"/>
      <c r="SGA8" s="24"/>
      <c r="SGB8" s="24"/>
      <c r="SGC8" s="24"/>
      <c r="SGD8" s="24"/>
      <c r="SGE8" s="24"/>
      <c r="SGF8" s="24"/>
      <c r="SGG8" s="24"/>
      <c r="SGH8" s="24"/>
      <c r="SGI8" s="24"/>
      <c r="SGJ8" s="24"/>
      <c r="SGK8" s="24"/>
      <c r="SGL8" s="24"/>
      <c r="SGM8" s="24"/>
      <c r="SGN8" s="24"/>
      <c r="SGO8" s="24"/>
      <c r="SGP8" s="24"/>
      <c r="SGQ8" s="24"/>
      <c r="SGR8" s="24"/>
      <c r="SGS8" s="24"/>
      <c r="SGT8" s="24"/>
      <c r="SGU8" s="24"/>
      <c r="SGV8" s="24"/>
      <c r="SGW8" s="24"/>
      <c r="SGX8" s="24"/>
      <c r="SGY8" s="24"/>
      <c r="SGZ8" s="24"/>
      <c r="SHA8" s="24"/>
      <c r="SHB8" s="24"/>
      <c r="SHC8" s="24"/>
      <c r="SHD8" s="24"/>
      <c r="SHE8" s="24"/>
      <c r="SHF8" s="24"/>
      <c r="SHG8" s="24"/>
      <c r="SHH8" s="24"/>
      <c r="SHI8" s="24"/>
      <c r="SHJ8" s="24"/>
      <c r="SHK8" s="24"/>
      <c r="SHL8" s="24"/>
      <c r="SHM8" s="24"/>
      <c r="SHN8" s="24"/>
      <c r="SHO8" s="24"/>
      <c r="SHP8" s="24"/>
      <c r="SHQ8" s="24"/>
      <c r="SHR8" s="24"/>
      <c r="SHS8" s="24"/>
      <c r="SHT8" s="24"/>
      <c r="SHU8" s="24"/>
      <c r="SHV8" s="24"/>
      <c r="SHW8" s="24"/>
      <c r="SHX8" s="24"/>
      <c r="SHY8" s="24"/>
      <c r="SHZ8" s="24"/>
      <c r="SIA8" s="24"/>
      <c r="SIB8" s="24"/>
      <c r="SIC8" s="24"/>
      <c r="SID8" s="24"/>
      <c r="SIE8" s="24"/>
      <c r="SIF8" s="24"/>
      <c r="SIG8" s="24"/>
      <c r="SIH8" s="24"/>
      <c r="SII8" s="24"/>
      <c r="SIJ8" s="24"/>
      <c r="SIK8" s="24"/>
      <c r="SIL8" s="24"/>
      <c r="SIM8" s="24"/>
      <c r="SIN8" s="24"/>
      <c r="SIO8" s="24"/>
      <c r="SIP8" s="24"/>
      <c r="SIQ8" s="24"/>
      <c r="SIR8" s="24"/>
      <c r="SIS8" s="24"/>
      <c r="SIT8" s="24"/>
      <c r="SIU8" s="24"/>
      <c r="SIV8" s="24"/>
      <c r="SIW8" s="24"/>
      <c r="SIX8" s="24"/>
      <c r="SIY8" s="24"/>
      <c r="SIZ8" s="24"/>
      <c r="SJA8" s="24"/>
      <c r="SJB8" s="24"/>
      <c r="SJC8" s="24"/>
      <c r="SJD8" s="24"/>
      <c r="SJE8" s="24"/>
      <c r="SJF8" s="24"/>
      <c r="SJG8" s="24"/>
      <c r="SJH8" s="24"/>
      <c r="SJI8" s="24"/>
      <c r="SJJ8" s="24"/>
      <c r="SJK8" s="24"/>
      <c r="SJL8" s="24"/>
      <c r="SJM8" s="24"/>
      <c r="SJN8" s="24"/>
      <c r="SJO8" s="24"/>
      <c r="SJP8" s="24"/>
      <c r="SJQ8" s="24"/>
      <c r="SJR8" s="24"/>
      <c r="SJS8" s="24"/>
      <c r="SJT8" s="24"/>
      <c r="SJU8" s="24"/>
      <c r="SJV8" s="24"/>
      <c r="SJW8" s="24"/>
      <c r="SJX8" s="24"/>
      <c r="SJY8" s="24"/>
      <c r="SJZ8" s="24"/>
      <c r="SKA8" s="24"/>
      <c r="SKB8" s="24"/>
      <c r="SKC8" s="24"/>
      <c r="SKD8" s="24"/>
      <c r="SKE8" s="24"/>
      <c r="SKF8" s="24"/>
      <c r="SKG8" s="24"/>
      <c r="SKH8" s="24"/>
      <c r="SKI8" s="24"/>
      <c r="SKJ8" s="24"/>
      <c r="SKK8" s="24"/>
      <c r="SKL8" s="24"/>
      <c r="SKM8" s="24"/>
      <c r="SKN8" s="24"/>
      <c r="SKO8" s="24"/>
      <c r="SKP8" s="24"/>
      <c r="SKQ8" s="24"/>
      <c r="SKR8" s="24"/>
      <c r="SKS8" s="24"/>
      <c r="SKT8" s="24"/>
      <c r="SKU8" s="24"/>
      <c r="SKV8" s="24"/>
      <c r="SKW8" s="24"/>
      <c r="SKX8" s="24"/>
      <c r="SKY8" s="24"/>
      <c r="SKZ8" s="24"/>
      <c r="SLA8" s="24"/>
      <c r="SLB8" s="24"/>
      <c r="SLC8" s="24"/>
      <c r="SLD8" s="24"/>
      <c r="SLE8" s="24"/>
      <c r="SLF8" s="24"/>
      <c r="SLG8" s="24"/>
      <c r="SLH8" s="24"/>
      <c r="SLI8" s="24"/>
      <c r="SLJ8" s="24"/>
      <c r="SLK8" s="24"/>
      <c r="SLL8" s="24"/>
      <c r="SLM8" s="24"/>
      <c r="SLN8" s="24"/>
      <c r="SLO8" s="24"/>
      <c r="SLP8" s="24"/>
      <c r="SLQ8" s="24"/>
      <c r="SLR8" s="24"/>
      <c r="SLS8" s="24"/>
      <c r="SLT8" s="24"/>
      <c r="SLU8" s="24"/>
      <c r="SLV8" s="24"/>
      <c r="SLW8" s="24"/>
      <c r="SLX8" s="24"/>
      <c r="SLY8" s="24"/>
      <c r="SLZ8" s="24"/>
      <c r="SMA8" s="24"/>
      <c r="SMB8" s="24"/>
      <c r="SMC8" s="24"/>
      <c r="SMD8" s="24"/>
      <c r="SME8" s="24"/>
      <c r="SMF8" s="24"/>
      <c r="SMG8" s="24"/>
      <c r="SMH8" s="24"/>
      <c r="SMI8" s="24"/>
      <c r="SMJ8" s="24"/>
      <c r="SMK8" s="24"/>
      <c r="SML8" s="24"/>
      <c r="SMM8" s="24"/>
      <c r="SMN8" s="24"/>
      <c r="SMO8" s="24"/>
      <c r="SMP8" s="24"/>
      <c r="SMQ8" s="24"/>
      <c r="SMR8" s="24"/>
      <c r="SMS8" s="24"/>
      <c r="SMT8" s="24"/>
      <c r="SMU8" s="24"/>
      <c r="SMV8" s="24"/>
      <c r="SMW8" s="24"/>
      <c r="SMX8" s="24"/>
      <c r="SMY8" s="24"/>
      <c r="SMZ8" s="24"/>
      <c r="SNA8" s="24"/>
      <c r="SNB8" s="24"/>
      <c r="SNC8" s="24"/>
      <c r="SND8" s="24"/>
      <c r="SNE8" s="24"/>
      <c r="SNF8" s="24"/>
      <c r="SNG8" s="24"/>
      <c r="SNH8" s="24"/>
      <c r="SNI8" s="24"/>
      <c r="SNJ8" s="24"/>
      <c r="SNK8" s="24"/>
      <c r="SNL8" s="24"/>
      <c r="SNM8" s="24"/>
      <c r="SNN8" s="24"/>
      <c r="SNO8" s="24"/>
      <c r="SNP8" s="24"/>
      <c r="SNQ8" s="24"/>
      <c r="SNR8" s="24"/>
      <c r="SNS8" s="24"/>
      <c r="SNT8" s="24"/>
      <c r="SNU8" s="24"/>
      <c r="SNV8" s="24"/>
      <c r="SNW8" s="24"/>
      <c r="SNX8" s="24"/>
      <c r="SNY8" s="24"/>
      <c r="SNZ8" s="24"/>
      <c r="SOA8" s="24"/>
      <c r="SOB8" s="24"/>
      <c r="SOC8" s="24"/>
      <c r="SOD8" s="24"/>
      <c r="SOE8" s="24"/>
      <c r="SOF8" s="24"/>
      <c r="SOG8" s="24"/>
      <c r="SOH8" s="24"/>
      <c r="SOI8" s="24"/>
      <c r="SOJ8" s="24"/>
      <c r="SOK8" s="24"/>
      <c r="SOL8" s="24"/>
      <c r="SOM8" s="24"/>
      <c r="SON8" s="24"/>
      <c r="SOO8" s="24"/>
      <c r="SOP8" s="24"/>
      <c r="SOQ8" s="24"/>
      <c r="SOR8" s="24"/>
      <c r="SOS8" s="24"/>
      <c r="SOT8" s="24"/>
      <c r="SOU8" s="24"/>
      <c r="SOV8" s="24"/>
      <c r="SOW8" s="24"/>
      <c r="SOX8" s="24"/>
      <c r="SOY8" s="24"/>
      <c r="SOZ8" s="24"/>
      <c r="SPA8" s="24"/>
      <c r="SPB8" s="24"/>
      <c r="SPC8" s="24"/>
      <c r="SPD8" s="24"/>
      <c r="SPE8" s="24"/>
      <c r="SPF8" s="24"/>
      <c r="SPG8" s="24"/>
      <c r="SPH8" s="24"/>
      <c r="SPI8" s="24"/>
      <c r="SPJ8" s="24"/>
      <c r="SPK8" s="24"/>
      <c r="SPL8" s="24"/>
      <c r="SPM8" s="24"/>
      <c r="SPN8" s="24"/>
      <c r="SPO8" s="24"/>
      <c r="SPP8" s="24"/>
      <c r="SPQ8" s="24"/>
      <c r="SPR8" s="24"/>
      <c r="SPS8" s="24"/>
      <c r="SPT8" s="24"/>
      <c r="SPU8" s="24"/>
      <c r="SPV8" s="24"/>
      <c r="SPW8" s="24"/>
      <c r="SPX8" s="24"/>
      <c r="SPY8" s="24"/>
      <c r="SPZ8" s="24"/>
      <c r="SQA8" s="24"/>
      <c r="SQB8" s="24"/>
      <c r="SQC8" s="24"/>
      <c r="SQD8" s="24"/>
      <c r="SQE8" s="24"/>
      <c r="SQF8" s="24"/>
      <c r="SQG8" s="24"/>
      <c r="SQH8" s="24"/>
      <c r="SQI8" s="24"/>
      <c r="SQJ8" s="24"/>
      <c r="SQK8" s="24"/>
      <c r="SQL8" s="24"/>
      <c r="SQM8" s="24"/>
      <c r="SQN8" s="24"/>
      <c r="SQO8" s="24"/>
      <c r="SQP8" s="24"/>
      <c r="SQQ8" s="24"/>
      <c r="SQR8" s="24"/>
      <c r="SQS8" s="24"/>
      <c r="SQT8" s="24"/>
      <c r="SQU8" s="24"/>
      <c r="SQV8" s="24"/>
      <c r="SQW8" s="24"/>
      <c r="SQX8" s="24"/>
      <c r="SQY8" s="24"/>
      <c r="SQZ8" s="24"/>
      <c r="SRA8" s="24"/>
      <c r="SRB8" s="24"/>
      <c r="SRC8" s="24"/>
      <c r="SRD8" s="24"/>
      <c r="SRE8" s="24"/>
      <c r="SRF8" s="24"/>
      <c r="SRG8" s="24"/>
      <c r="SRH8" s="24"/>
      <c r="SRI8" s="24"/>
      <c r="SRJ8" s="24"/>
      <c r="SRK8" s="24"/>
      <c r="SRL8" s="24"/>
      <c r="SRM8" s="24"/>
      <c r="SRN8" s="24"/>
      <c r="SRO8" s="24"/>
      <c r="SRP8" s="24"/>
      <c r="SRQ8" s="24"/>
      <c r="SRR8" s="24"/>
      <c r="SRS8" s="24"/>
      <c r="SRT8" s="24"/>
      <c r="SRU8" s="24"/>
      <c r="SRV8" s="24"/>
      <c r="SRW8" s="24"/>
      <c r="SRX8" s="24"/>
      <c r="SRY8" s="24"/>
      <c r="SRZ8" s="24"/>
      <c r="SSA8" s="24"/>
      <c r="SSB8" s="24"/>
      <c r="SSC8" s="24"/>
      <c r="SSD8" s="24"/>
      <c r="SSE8" s="24"/>
      <c r="SSF8" s="24"/>
      <c r="SSG8" s="24"/>
      <c r="SSH8" s="24"/>
      <c r="SSI8" s="24"/>
      <c r="SSJ8" s="24"/>
      <c r="SSK8" s="24"/>
      <c r="SSL8" s="24"/>
      <c r="SSM8" s="24"/>
      <c r="SSN8" s="24"/>
      <c r="SSO8" s="24"/>
      <c r="SSP8" s="24"/>
      <c r="SSQ8" s="24"/>
      <c r="SSR8" s="24"/>
      <c r="SSS8" s="24"/>
      <c r="SST8" s="24"/>
      <c r="SSU8" s="24"/>
      <c r="SSV8" s="24"/>
      <c r="SSW8" s="24"/>
      <c r="SSX8" s="24"/>
      <c r="SSY8" s="24"/>
      <c r="SSZ8" s="24"/>
      <c r="STA8" s="24"/>
      <c r="STB8" s="24"/>
      <c r="STC8" s="24"/>
      <c r="STD8" s="24"/>
      <c r="STE8" s="24"/>
      <c r="STF8" s="24"/>
      <c r="STG8" s="24"/>
      <c r="STH8" s="24"/>
      <c r="STI8" s="24"/>
      <c r="STJ8" s="24"/>
      <c r="STK8" s="24"/>
      <c r="STL8" s="24"/>
      <c r="STM8" s="24"/>
      <c r="STN8" s="24"/>
      <c r="STO8" s="24"/>
      <c r="STP8" s="24"/>
      <c r="STQ8" s="24"/>
      <c r="STR8" s="24"/>
      <c r="STS8" s="24"/>
      <c r="STT8" s="24"/>
      <c r="STU8" s="24"/>
      <c r="STV8" s="24"/>
      <c r="STW8" s="24"/>
      <c r="STX8" s="24"/>
      <c r="STY8" s="24"/>
      <c r="STZ8" s="24"/>
      <c r="SUA8" s="24"/>
      <c r="SUB8" s="24"/>
      <c r="SUC8" s="24"/>
      <c r="SUD8" s="24"/>
      <c r="SUE8" s="24"/>
      <c r="SUF8" s="24"/>
      <c r="SUG8" s="24"/>
      <c r="SUH8" s="24"/>
      <c r="SUI8" s="24"/>
      <c r="SUJ8" s="24"/>
      <c r="SUK8" s="24"/>
      <c r="SUL8" s="24"/>
      <c r="SUM8" s="24"/>
      <c r="SUN8" s="24"/>
      <c r="SUO8" s="24"/>
      <c r="SUP8" s="24"/>
      <c r="SUQ8" s="24"/>
      <c r="SUR8" s="24"/>
      <c r="SUS8" s="24"/>
      <c r="SUT8" s="24"/>
      <c r="SUU8" s="24"/>
      <c r="SUV8" s="24"/>
      <c r="SUW8" s="24"/>
      <c r="SUX8" s="24"/>
      <c r="SUY8" s="24"/>
      <c r="SUZ8" s="24"/>
      <c r="SVA8" s="24"/>
      <c r="SVB8" s="24"/>
      <c r="SVC8" s="24"/>
      <c r="SVD8" s="24"/>
      <c r="SVE8" s="24"/>
      <c r="SVF8" s="24"/>
      <c r="SVG8" s="24"/>
      <c r="SVH8" s="24"/>
      <c r="SVI8" s="24"/>
      <c r="SVJ8" s="24"/>
      <c r="SVK8" s="24"/>
      <c r="SVL8" s="24"/>
      <c r="SVM8" s="24"/>
      <c r="SVN8" s="24"/>
      <c r="SVO8" s="24"/>
      <c r="SVP8" s="24"/>
      <c r="SVQ8" s="24"/>
      <c r="SVR8" s="24"/>
      <c r="SVS8" s="24"/>
      <c r="SVT8" s="24"/>
      <c r="SVU8" s="24"/>
      <c r="SVV8" s="24"/>
      <c r="SVW8" s="24"/>
      <c r="SVX8" s="24"/>
      <c r="SVY8" s="24"/>
      <c r="SVZ8" s="24"/>
      <c r="SWA8" s="24"/>
      <c r="SWB8" s="24"/>
      <c r="SWC8" s="24"/>
      <c r="SWD8" s="24"/>
      <c r="SWE8" s="24"/>
      <c r="SWF8" s="24"/>
      <c r="SWG8" s="24"/>
      <c r="SWH8" s="24"/>
      <c r="SWI8" s="24"/>
      <c r="SWJ8" s="24"/>
      <c r="SWK8" s="24"/>
      <c r="SWL8" s="24"/>
      <c r="SWM8" s="24"/>
      <c r="SWN8" s="24"/>
      <c r="SWO8" s="24"/>
      <c r="SWP8" s="24"/>
      <c r="SWQ8" s="24"/>
      <c r="SWR8" s="24"/>
      <c r="SWS8" s="24"/>
      <c r="SWT8" s="24"/>
      <c r="SWU8" s="24"/>
      <c r="SWV8" s="24"/>
      <c r="SWW8" s="24"/>
      <c r="SWX8" s="24"/>
      <c r="SWY8" s="24"/>
      <c r="SWZ8" s="24"/>
      <c r="SXA8" s="24"/>
      <c r="SXB8" s="24"/>
      <c r="SXC8" s="24"/>
      <c r="SXD8" s="24"/>
      <c r="SXE8" s="24"/>
      <c r="SXF8" s="24"/>
      <c r="SXG8" s="24"/>
      <c r="SXH8" s="24"/>
      <c r="SXI8" s="24"/>
      <c r="SXJ8" s="24"/>
      <c r="SXK8" s="24"/>
      <c r="SXL8" s="24"/>
      <c r="SXM8" s="24"/>
      <c r="SXN8" s="24"/>
      <c r="SXO8" s="24"/>
      <c r="SXP8" s="24"/>
      <c r="SXQ8" s="24"/>
      <c r="SXR8" s="24"/>
      <c r="SXS8" s="24"/>
      <c r="SXT8" s="24"/>
      <c r="SXU8" s="24"/>
      <c r="SXV8" s="24"/>
      <c r="SXW8" s="24"/>
      <c r="SXX8" s="24"/>
      <c r="SXY8" s="24"/>
      <c r="SXZ8" s="24"/>
      <c r="SYA8" s="24"/>
      <c r="SYB8" s="24"/>
      <c r="SYC8" s="24"/>
      <c r="SYD8" s="24"/>
      <c r="SYE8" s="24"/>
      <c r="SYF8" s="24"/>
      <c r="SYG8" s="24"/>
      <c r="SYH8" s="24"/>
      <c r="SYI8" s="24"/>
      <c r="SYJ8" s="24"/>
      <c r="SYK8" s="24"/>
      <c r="SYL8" s="24"/>
      <c r="SYM8" s="24"/>
      <c r="SYN8" s="24"/>
      <c r="SYO8" s="24"/>
      <c r="SYP8" s="24"/>
      <c r="SYQ8" s="24"/>
      <c r="SYR8" s="24"/>
      <c r="SYS8" s="24"/>
      <c r="SYT8" s="24"/>
      <c r="SYU8" s="24"/>
      <c r="SYV8" s="24"/>
      <c r="SYW8" s="24"/>
      <c r="SYX8" s="24"/>
      <c r="SYY8" s="24"/>
      <c r="SYZ8" s="24"/>
      <c r="SZA8" s="24"/>
      <c r="SZB8" s="24"/>
      <c r="SZC8" s="24"/>
      <c r="SZD8" s="24"/>
      <c r="SZE8" s="24"/>
      <c r="SZF8" s="24"/>
      <c r="SZG8" s="24"/>
      <c r="SZH8" s="24"/>
      <c r="SZI8" s="24"/>
      <c r="SZJ8" s="24"/>
      <c r="SZK8" s="24"/>
      <c r="SZL8" s="24"/>
      <c r="SZM8" s="24"/>
      <c r="SZN8" s="24"/>
      <c r="SZO8" s="24"/>
      <c r="SZP8" s="24"/>
      <c r="SZQ8" s="24"/>
      <c r="SZR8" s="24"/>
      <c r="SZS8" s="24"/>
      <c r="SZT8" s="24"/>
      <c r="SZU8" s="24"/>
      <c r="SZV8" s="24"/>
      <c r="SZW8" s="24"/>
      <c r="SZX8" s="24"/>
      <c r="SZY8" s="24"/>
      <c r="SZZ8" s="24"/>
      <c r="TAA8" s="24"/>
      <c r="TAB8" s="24"/>
      <c r="TAC8" s="24"/>
      <c r="TAD8" s="24"/>
      <c r="TAE8" s="24"/>
      <c r="TAF8" s="24"/>
      <c r="TAG8" s="24"/>
      <c r="TAH8" s="24"/>
      <c r="TAI8" s="24"/>
      <c r="TAJ8" s="24"/>
      <c r="TAK8" s="24"/>
      <c r="TAL8" s="24"/>
      <c r="TAM8" s="24"/>
      <c r="TAN8" s="24"/>
      <c r="TAO8" s="24"/>
      <c r="TAP8" s="24"/>
      <c r="TAQ8" s="24"/>
      <c r="TAR8" s="24"/>
      <c r="TAS8" s="24"/>
      <c r="TAT8" s="24"/>
      <c r="TAU8" s="24"/>
      <c r="TAV8" s="24"/>
      <c r="TAW8" s="24"/>
      <c r="TAX8" s="24"/>
      <c r="TAY8" s="24"/>
      <c r="TAZ8" s="24"/>
      <c r="TBA8" s="24"/>
      <c r="TBB8" s="24"/>
      <c r="TBC8" s="24"/>
      <c r="TBD8" s="24"/>
      <c r="TBE8" s="24"/>
      <c r="TBF8" s="24"/>
      <c r="TBG8" s="24"/>
      <c r="TBH8" s="24"/>
      <c r="TBI8" s="24"/>
      <c r="TBJ8" s="24"/>
      <c r="TBK8" s="24"/>
      <c r="TBL8" s="24"/>
      <c r="TBM8" s="24"/>
      <c r="TBN8" s="24"/>
      <c r="TBO8" s="24"/>
      <c r="TBP8" s="24"/>
      <c r="TBQ8" s="24"/>
      <c r="TBR8" s="24"/>
      <c r="TBS8" s="24"/>
      <c r="TBT8" s="24"/>
      <c r="TBU8" s="24"/>
      <c r="TBV8" s="24"/>
      <c r="TBW8" s="24"/>
      <c r="TBX8" s="24"/>
      <c r="TBY8" s="24"/>
      <c r="TBZ8" s="24"/>
      <c r="TCA8" s="24"/>
      <c r="TCB8" s="24"/>
      <c r="TCC8" s="24"/>
      <c r="TCD8" s="24"/>
      <c r="TCE8" s="24"/>
      <c r="TCF8" s="24"/>
      <c r="TCG8" s="24"/>
      <c r="TCH8" s="24"/>
      <c r="TCI8" s="24"/>
      <c r="TCJ8" s="24"/>
      <c r="TCK8" s="24"/>
      <c r="TCL8" s="24"/>
      <c r="TCM8" s="24"/>
      <c r="TCN8" s="24"/>
      <c r="TCO8" s="24"/>
      <c r="TCP8" s="24"/>
      <c r="TCQ8" s="24"/>
      <c r="TCR8" s="24"/>
      <c r="TCS8" s="24"/>
      <c r="TCT8" s="24"/>
      <c r="TCU8" s="24"/>
      <c r="TCV8" s="24"/>
      <c r="TCW8" s="24"/>
      <c r="TCX8" s="24"/>
      <c r="TCY8" s="24"/>
      <c r="TCZ8" s="24"/>
      <c r="TDA8" s="24"/>
      <c r="TDB8" s="24"/>
      <c r="TDC8" s="24"/>
      <c r="TDD8" s="24"/>
      <c r="TDE8" s="24"/>
      <c r="TDF8" s="24"/>
      <c r="TDG8" s="24"/>
      <c r="TDH8" s="24"/>
      <c r="TDI8" s="24"/>
      <c r="TDJ8" s="24"/>
      <c r="TDK8" s="24"/>
      <c r="TDL8" s="24"/>
      <c r="TDM8" s="24"/>
      <c r="TDN8" s="24"/>
      <c r="TDO8" s="24"/>
      <c r="TDP8" s="24"/>
      <c r="TDQ8" s="24"/>
      <c r="TDR8" s="24"/>
      <c r="TDS8" s="24"/>
      <c r="TDT8" s="24"/>
      <c r="TDU8" s="24"/>
      <c r="TDV8" s="24"/>
      <c r="TDW8" s="24"/>
      <c r="TDX8" s="24"/>
      <c r="TDY8" s="24"/>
      <c r="TDZ8" s="24"/>
      <c r="TEA8" s="24"/>
      <c r="TEB8" s="24"/>
      <c r="TEC8" s="24"/>
      <c r="TED8" s="24"/>
      <c r="TEE8" s="24"/>
      <c r="TEF8" s="24"/>
      <c r="TEG8" s="24"/>
      <c r="TEH8" s="24"/>
      <c r="TEI8" s="24"/>
      <c r="TEJ8" s="24"/>
      <c r="TEK8" s="24"/>
      <c r="TEL8" s="24"/>
      <c r="TEM8" s="24"/>
      <c r="TEN8" s="24"/>
      <c r="TEO8" s="24"/>
      <c r="TEP8" s="24"/>
      <c r="TEQ8" s="24"/>
      <c r="TER8" s="24"/>
      <c r="TES8" s="24"/>
      <c r="TET8" s="24"/>
      <c r="TEU8" s="24"/>
      <c r="TEV8" s="24"/>
      <c r="TEW8" s="24"/>
      <c r="TEX8" s="24"/>
      <c r="TEY8" s="24"/>
      <c r="TEZ8" s="24"/>
      <c r="TFA8" s="24"/>
      <c r="TFB8" s="24"/>
      <c r="TFC8" s="24"/>
      <c r="TFD8" s="24"/>
      <c r="TFE8" s="24"/>
      <c r="TFF8" s="24"/>
      <c r="TFG8" s="24"/>
      <c r="TFH8" s="24"/>
      <c r="TFI8" s="24"/>
      <c r="TFJ8" s="24"/>
      <c r="TFK8" s="24"/>
      <c r="TFL8" s="24"/>
      <c r="TFM8" s="24"/>
      <c r="TFN8" s="24"/>
      <c r="TFO8" s="24"/>
      <c r="TFP8" s="24"/>
      <c r="TFQ8" s="24"/>
      <c r="TFR8" s="24"/>
      <c r="TFS8" s="24"/>
      <c r="TFT8" s="24"/>
      <c r="TFU8" s="24"/>
      <c r="TFV8" s="24"/>
      <c r="TFW8" s="24"/>
      <c r="TFX8" s="24"/>
      <c r="TFY8" s="24"/>
      <c r="TFZ8" s="24"/>
      <c r="TGA8" s="24"/>
      <c r="TGB8" s="24"/>
      <c r="TGC8" s="24"/>
      <c r="TGD8" s="24"/>
      <c r="TGE8" s="24"/>
      <c r="TGF8" s="24"/>
      <c r="TGG8" s="24"/>
      <c r="TGH8" s="24"/>
      <c r="TGI8" s="24"/>
      <c r="TGJ8" s="24"/>
      <c r="TGK8" s="24"/>
      <c r="TGL8" s="24"/>
      <c r="TGM8" s="24"/>
      <c r="TGN8" s="24"/>
      <c r="TGO8" s="24"/>
      <c r="TGP8" s="24"/>
      <c r="TGQ8" s="24"/>
      <c r="TGR8" s="24"/>
      <c r="TGS8" s="24"/>
      <c r="TGT8" s="24"/>
      <c r="TGU8" s="24"/>
      <c r="TGV8" s="24"/>
      <c r="TGW8" s="24"/>
      <c r="TGX8" s="24"/>
      <c r="TGY8" s="24"/>
      <c r="TGZ8" s="24"/>
      <c r="THA8" s="24"/>
      <c r="THB8" s="24"/>
      <c r="THC8" s="24"/>
      <c r="THD8" s="24"/>
      <c r="THE8" s="24"/>
      <c r="THF8" s="24"/>
      <c r="THG8" s="24"/>
      <c r="THH8" s="24"/>
      <c r="THI8" s="24"/>
      <c r="THJ8" s="24"/>
      <c r="THK8" s="24"/>
      <c r="THL8" s="24"/>
      <c r="THM8" s="24"/>
      <c r="THN8" s="24"/>
      <c r="THO8" s="24"/>
      <c r="THP8" s="24"/>
      <c r="THQ8" s="24"/>
      <c r="THR8" s="24"/>
      <c r="THS8" s="24"/>
      <c r="THT8" s="24"/>
      <c r="THU8" s="24"/>
      <c r="THV8" s="24"/>
      <c r="THW8" s="24"/>
      <c r="THX8" s="24"/>
      <c r="THY8" s="24"/>
      <c r="THZ8" s="24"/>
      <c r="TIA8" s="24"/>
      <c r="TIB8" s="24"/>
      <c r="TIC8" s="24"/>
      <c r="TID8" s="24"/>
      <c r="TIE8" s="24"/>
      <c r="TIF8" s="24"/>
      <c r="TIG8" s="24"/>
      <c r="TIH8" s="24"/>
      <c r="TII8" s="24"/>
      <c r="TIJ8" s="24"/>
      <c r="TIK8" s="24"/>
      <c r="TIL8" s="24"/>
      <c r="TIM8" s="24"/>
      <c r="TIN8" s="24"/>
      <c r="TIO8" s="24"/>
      <c r="TIP8" s="24"/>
      <c r="TIQ8" s="24"/>
      <c r="TIR8" s="24"/>
      <c r="TIS8" s="24"/>
      <c r="TIT8" s="24"/>
      <c r="TIU8" s="24"/>
      <c r="TIV8" s="24"/>
      <c r="TIW8" s="24"/>
      <c r="TIX8" s="24"/>
      <c r="TIY8" s="24"/>
      <c r="TIZ8" s="24"/>
      <c r="TJA8" s="24"/>
      <c r="TJB8" s="24"/>
      <c r="TJC8" s="24"/>
      <c r="TJD8" s="24"/>
      <c r="TJE8" s="24"/>
      <c r="TJF8" s="24"/>
      <c r="TJG8" s="24"/>
      <c r="TJH8" s="24"/>
      <c r="TJI8" s="24"/>
      <c r="TJJ8" s="24"/>
      <c r="TJK8" s="24"/>
      <c r="TJL8" s="24"/>
      <c r="TJM8" s="24"/>
      <c r="TJN8" s="24"/>
      <c r="TJO8" s="24"/>
      <c r="TJP8" s="24"/>
      <c r="TJQ8" s="24"/>
      <c r="TJR8" s="24"/>
      <c r="TJS8" s="24"/>
      <c r="TJT8" s="24"/>
      <c r="TJU8" s="24"/>
      <c r="TJV8" s="24"/>
      <c r="TJW8" s="24"/>
      <c r="TJX8" s="24"/>
      <c r="TJY8" s="24"/>
      <c r="TJZ8" s="24"/>
      <c r="TKA8" s="24"/>
      <c r="TKB8" s="24"/>
      <c r="TKC8" s="24"/>
      <c r="TKD8" s="24"/>
      <c r="TKE8" s="24"/>
      <c r="TKF8" s="24"/>
      <c r="TKG8" s="24"/>
      <c r="TKH8" s="24"/>
      <c r="TKI8" s="24"/>
      <c r="TKJ8" s="24"/>
      <c r="TKK8" s="24"/>
      <c r="TKL8" s="24"/>
      <c r="TKM8" s="24"/>
      <c r="TKN8" s="24"/>
      <c r="TKO8" s="24"/>
      <c r="TKP8" s="24"/>
      <c r="TKQ8" s="24"/>
      <c r="TKR8" s="24"/>
      <c r="TKS8" s="24"/>
      <c r="TKT8" s="24"/>
      <c r="TKU8" s="24"/>
      <c r="TKV8" s="24"/>
      <c r="TKW8" s="24"/>
      <c r="TKX8" s="24"/>
      <c r="TKY8" s="24"/>
      <c r="TKZ8" s="24"/>
      <c r="TLA8" s="24"/>
      <c r="TLB8" s="24"/>
      <c r="TLC8" s="24"/>
      <c r="TLD8" s="24"/>
      <c r="TLE8" s="24"/>
      <c r="TLF8" s="24"/>
      <c r="TLG8" s="24"/>
      <c r="TLH8" s="24"/>
      <c r="TLI8" s="24"/>
      <c r="TLJ8" s="24"/>
      <c r="TLK8" s="24"/>
      <c r="TLL8" s="24"/>
      <c r="TLM8" s="24"/>
      <c r="TLN8" s="24"/>
      <c r="TLO8" s="24"/>
      <c r="TLP8" s="24"/>
      <c r="TLQ8" s="24"/>
      <c r="TLR8" s="24"/>
      <c r="TLS8" s="24"/>
      <c r="TLT8" s="24"/>
      <c r="TLU8" s="24"/>
      <c r="TLV8" s="24"/>
      <c r="TLW8" s="24"/>
      <c r="TLX8" s="24"/>
      <c r="TLY8" s="24"/>
      <c r="TLZ8" s="24"/>
      <c r="TMA8" s="24"/>
      <c r="TMB8" s="24"/>
      <c r="TMC8" s="24"/>
      <c r="TMD8" s="24"/>
      <c r="TME8" s="24"/>
      <c r="TMF8" s="24"/>
      <c r="TMG8" s="24"/>
      <c r="TMH8" s="24"/>
      <c r="TMI8" s="24"/>
      <c r="TMJ8" s="24"/>
      <c r="TMK8" s="24"/>
      <c r="TML8" s="24"/>
      <c r="TMM8" s="24"/>
      <c r="TMN8" s="24"/>
      <c r="TMO8" s="24"/>
      <c r="TMP8" s="24"/>
      <c r="TMQ8" s="24"/>
      <c r="TMR8" s="24"/>
      <c r="TMS8" s="24"/>
      <c r="TMT8" s="24"/>
      <c r="TMU8" s="24"/>
      <c r="TMV8" s="24"/>
      <c r="TMW8" s="24"/>
      <c r="TMX8" s="24"/>
      <c r="TMY8" s="24"/>
      <c r="TMZ8" s="24"/>
      <c r="TNA8" s="24"/>
      <c r="TNB8" s="24"/>
      <c r="TNC8" s="24"/>
      <c r="TND8" s="24"/>
      <c r="TNE8" s="24"/>
      <c r="TNF8" s="24"/>
      <c r="TNG8" s="24"/>
      <c r="TNH8" s="24"/>
      <c r="TNI8" s="24"/>
      <c r="TNJ8" s="24"/>
      <c r="TNK8" s="24"/>
      <c r="TNL8" s="24"/>
      <c r="TNM8" s="24"/>
      <c r="TNN8" s="24"/>
      <c r="TNO8" s="24"/>
      <c r="TNP8" s="24"/>
      <c r="TNQ8" s="24"/>
      <c r="TNR8" s="24"/>
      <c r="TNS8" s="24"/>
      <c r="TNT8" s="24"/>
      <c r="TNU8" s="24"/>
      <c r="TNV8" s="24"/>
      <c r="TNW8" s="24"/>
      <c r="TNX8" s="24"/>
      <c r="TNY8" s="24"/>
      <c r="TNZ8" s="24"/>
      <c r="TOA8" s="24"/>
      <c r="TOB8" s="24"/>
      <c r="TOC8" s="24"/>
      <c r="TOD8" s="24"/>
      <c r="TOE8" s="24"/>
      <c r="TOF8" s="24"/>
      <c r="TOG8" s="24"/>
      <c r="TOH8" s="24"/>
      <c r="TOI8" s="24"/>
      <c r="TOJ8" s="24"/>
      <c r="TOK8" s="24"/>
      <c r="TOL8" s="24"/>
      <c r="TOM8" s="24"/>
      <c r="TON8" s="24"/>
      <c r="TOO8" s="24"/>
      <c r="TOP8" s="24"/>
      <c r="TOQ8" s="24"/>
      <c r="TOR8" s="24"/>
      <c r="TOS8" s="24"/>
      <c r="TOT8" s="24"/>
      <c r="TOU8" s="24"/>
      <c r="TOV8" s="24"/>
      <c r="TOW8" s="24"/>
      <c r="TOX8" s="24"/>
      <c r="TOY8" s="24"/>
      <c r="TOZ8" s="24"/>
      <c r="TPA8" s="24"/>
      <c r="TPB8" s="24"/>
      <c r="TPC8" s="24"/>
      <c r="TPD8" s="24"/>
      <c r="TPE8" s="24"/>
      <c r="TPF8" s="24"/>
      <c r="TPG8" s="24"/>
      <c r="TPH8" s="24"/>
      <c r="TPI8" s="24"/>
      <c r="TPJ8" s="24"/>
      <c r="TPK8" s="24"/>
      <c r="TPL8" s="24"/>
      <c r="TPM8" s="24"/>
      <c r="TPN8" s="24"/>
      <c r="TPO8" s="24"/>
      <c r="TPP8" s="24"/>
      <c r="TPQ8" s="24"/>
      <c r="TPR8" s="24"/>
      <c r="TPS8" s="24"/>
      <c r="TPT8" s="24"/>
      <c r="TPU8" s="24"/>
      <c r="TPV8" s="24"/>
      <c r="TPW8" s="24"/>
      <c r="TPX8" s="24"/>
      <c r="TPY8" s="24"/>
      <c r="TPZ8" s="24"/>
      <c r="TQA8" s="24"/>
      <c r="TQB8" s="24"/>
      <c r="TQC8" s="24"/>
      <c r="TQD8" s="24"/>
      <c r="TQE8" s="24"/>
      <c r="TQF8" s="24"/>
      <c r="TQG8" s="24"/>
      <c r="TQH8" s="24"/>
      <c r="TQI8" s="24"/>
      <c r="TQJ8" s="24"/>
      <c r="TQK8" s="24"/>
      <c r="TQL8" s="24"/>
      <c r="TQM8" s="24"/>
      <c r="TQN8" s="24"/>
      <c r="TQO8" s="24"/>
      <c r="TQP8" s="24"/>
      <c r="TQQ8" s="24"/>
      <c r="TQR8" s="24"/>
      <c r="TQS8" s="24"/>
      <c r="TQT8" s="24"/>
      <c r="TQU8" s="24"/>
      <c r="TQV8" s="24"/>
      <c r="TQW8" s="24"/>
      <c r="TQX8" s="24"/>
      <c r="TQY8" s="24"/>
      <c r="TQZ8" s="24"/>
      <c r="TRA8" s="24"/>
      <c r="TRB8" s="24"/>
      <c r="TRC8" s="24"/>
      <c r="TRD8" s="24"/>
      <c r="TRE8" s="24"/>
      <c r="TRF8" s="24"/>
      <c r="TRG8" s="24"/>
      <c r="TRH8" s="24"/>
      <c r="TRI8" s="24"/>
      <c r="TRJ8" s="24"/>
      <c r="TRK8" s="24"/>
      <c r="TRL8" s="24"/>
      <c r="TRM8" s="24"/>
      <c r="TRN8" s="24"/>
      <c r="TRO8" s="24"/>
      <c r="TRP8" s="24"/>
      <c r="TRQ8" s="24"/>
      <c r="TRR8" s="24"/>
      <c r="TRS8" s="24"/>
      <c r="TRT8" s="24"/>
      <c r="TRU8" s="24"/>
      <c r="TRV8" s="24"/>
      <c r="TRW8" s="24"/>
      <c r="TRX8" s="24"/>
      <c r="TRY8" s="24"/>
      <c r="TRZ8" s="24"/>
      <c r="TSA8" s="24"/>
      <c r="TSB8" s="24"/>
      <c r="TSC8" s="24"/>
      <c r="TSD8" s="24"/>
      <c r="TSE8" s="24"/>
      <c r="TSF8" s="24"/>
      <c r="TSG8" s="24"/>
      <c r="TSH8" s="24"/>
      <c r="TSI8" s="24"/>
      <c r="TSJ8" s="24"/>
      <c r="TSK8" s="24"/>
      <c r="TSL8" s="24"/>
      <c r="TSM8" s="24"/>
      <c r="TSN8" s="24"/>
      <c r="TSO8" s="24"/>
      <c r="TSP8" s="24"/>
      <c r="TSQ8" s="24"/>
      <c r="TSR8" s="24"/>
      <c r="TSS8" s="24"/>
      <c r="TST8" s="24"/>
      <c r="TSU8" s="24"/>
      <c r="TSV8" s="24"/>
      <c r="TSW8" s="24"/>
      <c r="TSX8" s="24"/>
      <c r="TSY8" s="24"/>
      <c r="TSZ8" s="24"/>
      <c r="TTA8" s="24"/>
      <c r="TTB8" s="24"/>
      <c r="TTC8" s="24"/>
      <c r="TTD8" s="24"/>
      <c r="TTE8" s="24"/>
      <c r="TTF8" s="24"/>
      <c r="TTG8" s="24"/>
      <c r="TTH8" s="24"/>
      <c r="TTI8" s="24"/>
      <c r="TTJ8" s="24"/>
      <c r="TTK8" s="24"/>
      <c r="TTL8" s="24"/>
      <c r="TTM8" s="24"/>
      <c r="TTN8" s="24"/>
      <c r="TTO8" s="24"/>
      <c r="TTP8" s="24"/>
      <c r="TTQ8" s="24"/>
      <c r="TTR8" s="24"/>
      <c r="TTS8" s="24"/>
      <c r="TTT8" s="24"/>
      <c r="TTU8" s="24"/>
      <c r="TTV8" s="24"/>
      <c r="TTW8" s="24"/>
      <c r="TTX8" s="24"/>
      <c r="TTY8" s="24"/>
      <c r="TTZ8" s="24"/>
      <c r="TUA8" s="24"/>
      <c r="TUB8" s="24"/>
      <c r="TUC8" s="24"/>
      <c r="TUD8" s="24"/>
      <c r="TUE8" s="24"/>
      <c r="TUF8" s="24"/>
      <c r="TUG8" s="24"/>
      <c r="TUH8" s="24"/>
      <c r="TUI8" s="24"/>
      <c r="TUJ8" s="24"/>
      <c r="TUK8" s="24"/>
      <c r="TUL8" s="24"/>
      <c r="TUM8" s="24"/>
      <c r="TUN8" s="24"/>
      <c r="TUO8" s="24"/>
      <c r="TUP8" s="24"/>
      <c r="TUQ8" s="24"/>
      <c r="TUR8" s="24"/>
      <c r="TUS8" s="24"/>
      <c r="TUT8" s="24"/>
      <c r="TUU8" s="24"/>
      <c r="TUV8" s="24"/>
      <c r="TUW8" s="24"/>
      <c r="TUX8" s="24"/>
      <c r="TUY8" s="24"/>
      <c r="TUZ8" s="24"/>
      <c r="TVA8" s="24"/>
      <c r="TVB8" s="24"/>
      <c r="TVC8" s="24"/>
      <c r="TVD8" s="24"/>
      <c r="TVE8" s="24"/>
      <c r="TVF8" s="24"/>
      <c r="TVG8" s="24"/>
      <c r="TVH8" s="24"/>
      <c r="TVI8" s="24"/>
      <c r="TVJ8" s="24"/>
      <c r="TVK8" s="24"/>
      <c r="TVL8" s="24"/>
      <c r="TVM8" s="24"/>
      <c r="TVN8" s="24"/>
      <c r="TVO8" s="24"/>
      <c r="TVP8" s="24"/>
      <c r="TVQ8" s="24"/>
      <c r="TVR8" s="24"/>
      <c r="TVS8" s="24"/>
      <c r="TVT8" s="24"/>
      <c r="TVU8" s="24"/>
      <c r="TVV8" s="24"/>
      <c r="TVW8" s="24"/>
      <c r="TVX8" s="24"/>
      <c r="TVY8" s="24"/>
      <c r="TVZ8" s="24"/>
      <c r="TWA8" s="24"/>
      <c r="TWB8" s="24"/>
      <c r="TWC8" s="24"/>
      <c r="TWD8" s="24"/>
      <c r="TWE8" s="24"/>
      <c r="TWF8" s="24"/>
      <c r="TWG8" s="24"/>
      <c r="TWH8" s="24"/>
      <c r="TWI8" s="24"/>
      <c r="TWJ8" s="24"/>
      <c r="TWK8" s="24"/>
      <c r="TWL8" s="24"/>
      <c r="TWM8" s="24"/>
      <c r="TWN8" s="24"/>
      <c r="TWO8" s="24"/>
      <c r="TWP8" s="24"/>
      <c r="TWQ8" s="24"/>
      <c r="TWR8" s="24"/>
      <c r="TWS8" s="24"/>
      <c r="TWT8" s="24"/>
      <c r="TWU8" s="24"/>
      <c r="TWV8" s="24"/>
      <c r="TWW8" s="24"/>
      <c r="TWX8" s="24"/>
      <c r="TWY8" s="24"/>
      <c r="TWZ8" s="24"/>
      <c r="TXA8" s="24"/>
      <c r="TXB8" s="24"/>
      <c r="TXC8" s="24"/>
      <c r="TXD8" s="24"/>
      <c r="TXE8" s="24"/>
      <c r="TXF8" s="24"/>
      <c r="TXG8" s="24"/>
      <c r="TXH8" s="24"/>
      <c r="TXI8" s="24"/>
      <c r="TXJ8" s="24"/>
      <c r="TXK8" s="24"/>
      <c r="TXL8" s="24"/>
      <c r="TXM8" s="24"/>
      <c r="TXN8" s="24"/>
      <c r="TXO8" s="24"/>
      <c r="TXP8" s="24"/>
      <c r="TXQ8" s="24"/>
      <c r="TXR8" s="24"/>
      <c r="TXS8" s="24"/>
      <c r="TXT8" s="24"/>
      <c r="TXU8" s="24"/>
      <c r="TXV8" s="24"/>
      <c r="TXW8" s="24"/>
      <c r="TXX8" s="24"/>
      <c r="TXY8" s="24"/>
      <c r="TXZ8" s="24"/>
      <c r="TYA8" s="24"/>
      <c r="TYB8" s="24"/>
      <c r="TYC8" s="24"/>
      <c r="TYD8" s="24"/>
      <c r="TYE8" s="24"/>
      <c r="TYF8" s="24"/>
      <c r="TYG8" s="24"/>
      <c r="TYH8" s="24"/>
      <c r="TYI8" s="24"/>
      <c r="TYJ8" s="24"/>
      <c r="TYK8" s="24"/>
      <c r="TYL8" s="24"/>
      <c r="TYM8" s="24"/>
      <c r="TYN8" s="24"/>
      <c r="TYO8" s="24"/>
      <c r="TYP8" s="24"/>
      <c r="TYQ8" s="24"/>
      <c r="TYR8" s="24"/>
      <c r="TYS8" s="24"/>
      <c r="TYT8" s="24"/>
      <c r="TYU8" s="24"/>
      <c r="TYV8" s="24"/>
      <c r="TYW8" s="24"/>
      <c r="TYX8" s="24"/>
      <c r="TYY8" s="24"/>
      <c r="TYZ8" s="24"/>
      <c r="TZA8" s="24"/>
      <c r="TZB8" s="24"/>
      <c r="TZC8" s="24"/>
      <c r="TZD8" s="24"/>
      <c r="TZE8" s="24"/>
      <c r="TZF8" s="24"/>
      <c r="TZG8" s="24"/>
      <c r="TZH8" s="24"/>
      <c r="TZI8" s="24"/>
      <c r="TZJ8" s="24"/>
      <c r="TZK8" s="24"/>
      <c r="TZL8" s="24"/>
      <c r="TZM8" s="24"/>
      <c r="TZN8" s="24"/>
      <c r="TZO8" s="24"/>
      <c r="TZP8" s="24"/>
      <c r="TZQ8" s="24"/>
      <c r="TZR8" s="24"/>
      <c r="TZS8" s="24"/>
      <c r="TZT8" s="24"/>
      <c r="TZU8" s="24"/>
      <c r="TZV8" s="24"/>
      <c r="TZW8" s="24"/>
      <c r="TZX8" s="24"/>
      <c r="TZY8" s="24"/>
      <c r="TZZ8" s="24"/>
      <c r="UAA8" s="24"/>
      <c r="UAB8" s="24"/>
      <c r="UAC8" s="24"/>
      <c r="UAD8" s="24"/>
      <c r="UAE8" s="24"/>
      <c r="UAF8" s="24"/>
      <c r="UAG8" s="24"/>
      <c r="UAH8" s="24"/>
      <c r="UAI8" s="24"/>
      <c r="UAJ8" s="24"/>
      <c r="UAK8" s="24"/>
      <c r="UAL8" s="24"/>
      <c r="UAM8" s="24"/>
      <c r="UAN8" s="24"/>
      <c r="UAO8" s="24"/>
      <c r="UAP8" s="24"/>
      <c r="UAQ8" s="24"/>
      <c r="UAR8" s="24"/>
      <c r="UAS8" s="24"/>
      <c r="UAT8" s="24"/>
      <c r="UAU8" s="24"/>
      <c r="UAV8" s="24"/>
      <c r="UAW8" s="24"/>
      <c r="UAX8" s="24"/>
      <c r="UAY8" s="24"/>
      <c r="UAZ8" s="24"/>
      <c r="UBA8" s="24"/>
      <c r="UBB8" s="24"/>
      <c r="UBC8" s="24"/>
      <c r="UBD8" s="24"/>
      <c r="UBE8" s="24"/>
      <c r="UBF8" s="24"/>
      <c r="UBG8" s="24"/>
      <c r="UBH8" s="24"/>
      <c r="UBI8" s="24"/>
      <c r="UBJ8" s="24"/>
      <c r="UBK8" s="24"/>
      <c r="UBL8" s="24"/>
      <c r="UBM8" s="24"/>
      <c r="UBN8" s="24"/>
      <c r="UBO8" s="24"/>
      <c r="UBP8" s="24"/>
      <c r="UBQ8" s="24"/>
      <c r="UBR8" s="24"/>
      <c r="UBS8" s="24"/>
      <c r="UBT8" s="24"/>
      <c r="UBU8" s="24"/>
      <c r="UBV8" s="24"/>
      <c r="UBW8" s="24"/>
      <c r="UBX8" s="24"/>
      <c r="UBY8" s="24"/>
      <c r="UBZ8" s="24"/>
      <c r="UCA8" s="24"/>
      <c r="UCB8" s="24"/>
      <c r="UCC8" s="24"/>
      <c r="UCD8" s="24"/>
      <c r="UCE8" s="24"/>
      <c r="UCF8" s="24"/>
      <c r="UCG8" s="24"/>
      <c r="UCH8" s="24"/>
      <c r="UCI8" s="24"/>
      <c r="UCJ8" s="24"/>
      <c r="UCK8" s="24"/>
      <c r="UCL8" s="24"/>
      <c r="UCM8" s="24"/>
      <c r="UCN8" s="24"/>
      <c r="UCO8" s="24"/>
      <c r="UCP8" s="24"/>
      <c r="UCQ8" s="24"/>
      <c r="UCR8" s="24"/>
      <c r="UCS8" s="24"/>
      <c r="UCT8" s="24"/>
      <c r="UCU8" s="24"/>
      <c r="UCV8" s="24"/>
      <c r="UCW8" s="24"/>
      <c r="UCX8" s="24"/>
      <c r="UCY8" s="24"/>
      <c r="UCZ8" s="24"/>
      <c r="UDA8" s="24"/>
      <c r="UDB8" s="24"/>
      <c r="UDC8" s="24"/>
      <c r="UDD8" s="24"/>
      <c r="UDE8" s="24"/>
      <c r="UDF8" s="24"/>
      <c r="UDG8" s="24"/>
      <c r="UDH8" s="24"/>
      <c r="UDI8" s="24"/>
      <c r="UDJ8" s="24"/>
      <c r="UDK8" s="24"/>
      <c r="UDL8" s="24"/>
      <c r="UDM8" s="24"/>
      <c r="UDN8" s="24"/>
      <c r="UDO8" s="24"/>
      <c r="UDP8" s="24"/>
      <c r="UDQ8" s="24"/>
      <c r="UDR8" s="24"/>
      <c r="UDS8" s="24"/>
      <c r="UDT8" s="24"/>
      <c r="UDU8" s="24"/>
      <c r="UDV8" s="24"/>
      <c r="UDW8" s="24"/>
      <c r="UDX8" s="24"/>
      <c r="UDY8" s="24"/>
      <c r="UDZ8" s="24"/>
      <c r="UEA8" s="24"/>
      <c r="UEB8" s="24"/>
      <c r="UEC8" s="24"/>
      <c r="UED8" s="24"/>
      <c r="UEE8" s="24"/>
      <c r="UEF8" s="24"/>
      <c r="UEG8" s="24"/>
      <c r="UEH8" s="24"/>
      <c r="UEI8" s="24"/>
      <c r="UEJ8" s="24"/>
      <c r="UEK8" s="24"/>
      <c r="UEL8" s="24"/>
      <c r="UEM8" s="24"/>
      <c r="UEN8" s="24"/>
      <c r="UEO8" s="24"/>
      <c r="UEP8" s="24"/>
      <c r="UEQ8" s="24"/>
      <c r="UER8" s="24"/>
      <c r="UES8" s="24"/>
      <c r="UET8" s="24"/>
      <c r="UEU8" s="24"/>
      <c r="UEV8" s="24"/>
      <c r="UEW8" s="24"/>
      <c r="UEX8" s="24"/>
      <c r="UEY8" s="24"/>
      <c r="UEZ8" s="24"/>
      <c r="UFA8" s="24"/>
      <c r="UFB8" s="24"/>
      <c r="UFC8" s="24"/>
      <c r="UFD8" s="24"/>
      <c r="UFE8" s="24"/>
      <c r="UFF8" s="24"/>
      <c r="UFG8" s="24"/>
      <c r="UFH8" s="24"/>
      <c r="UFI8" s="24"/>
      <c r="UFJ8" s="24"/>
      <c r="UFK8" s="24"/>
      <c r="UFL8" s="24"/>
      <c r="UFM8" s="24"/>
      <c r="UFN8" s="24"/>
      <c r="UFO8" s="24"/>
      <c r="UFP8" s="24"/>
      <c r="UFQ8" s="24"/>
      <c r="UFR8" s="24"/>
      <c r="UFS8" s="24"/>
      <c r="UFT8" s="24"/>
      <c r="UFU8" s="24"/>
      <c r="UFV8" s="24"/>
      <c r="UFW8" s="24"/>
      <c r="UFX8" s="24"/>
      <c r="UFY8" s="24"/>
      <c r="UFZ8" s="24"/>
      <c r="UGA8" s="24"/>
      <c r="UGB8" s="24"/>
      <c r="UGC8" s="24"/>
      <c r="UGD8" s="24"/>
      <c r="UGE8" s="24"/>
      <c r="UGF8" s="24"/>
      <c r="UGG8" s="24"/>
      <c r="UGH8" s="24"/>
      <c r="UGI8" s="24"/>
      <c r="UGJ8" s="24"/>
      <c r="UGK8" s="24"/>
      <c r="UGL8" s="24"/>
      <c r="UGM8" s="24"/>
      <c r="UGN8" s="24"/>
      <c r="UGO8" s="24"/>
      <c r="UGP8" s="24"/>
      <c r="UGQ8" s="24"/>
      <c r="UGR8" s="24"/>
      <c r="UGS8" s="24"/>
      <c r="UGT8" s="24"/>
      <c r="UGU8" s="24"/>
      <c r="UGV8" s="24"/>
      <c r="UGW8" s="24"/>
      <c r="UGX8" s="24"/>
      <c r="UGY8" s="24"/>
      <c r="UGZ8" s="24"/>
      <c r="UHA8" s="24"/>
      <c r="UHB8" s="24"/>
      <c r="UHC8" s="24"/>
      <c r="UHD8" s="24"/>
      <c r="UHE8" s="24"/>
      <c r="UHF8" s="24"/>
      <c r="UHG8" s="24"/>
      <c r="UHH8" s="24"/>
      <c r="UHI8" s="24"/>
      <c r="UHJ8" s="24"/>
      <c r="UHK8" s="24"/>
      <c r="UHL8" s="24"/>
      <c r="UHM8" s="24"/>
      <c r="UHN8" s="24"/>
      <c r="UHO8" s="24"/>
      <c r="UHP8" s="24"/>
      <c r="UHQ8" s="24"/>
      <c r="UHR8" s="24"/>
      <c r="UHS8" s="24"/>
      <c r="UHT8" s="24"/>
      <c r="UHU8" s="24"/>
      <c r="UHV8" s="24"/>
      <c r="UHW8" s="24"/>
      <c r="UHX8" s="24"/>
      <c r="UHY8" s="24"/>
      <c r="UHZ8" s="24"/>
      <c r="UIA8" s="24"/>
      <c r="UIB8" s="24"/>
      <c r="UIC8" s="24"/>
      <c r="UID8" s="24"/>
      <c r="UIE8" s="24"/>
      <c r="UIF8" s="24"/>
      <c r="UIG8" s="24"/>
      <c r="UIH8" s="24"/>
      <c r="UII8" s="24"/>
      <c r="UIJ8" s="24"/>
      <c r="UIK8" s="24"/>
      <c r="UIL8" s="24"/>
      <c r="UIM8" s="24"/>
      <c r="UIN8" s="24"/>
      <c r="UIO8" s="24"/>
      <c r="UIP8" s="24"/>
      <c r="UIQ8" s="24"/>
      <c r="UIR8" s="24"/>
      <c r="UIS8" s="24"/>
      <c r="UIT8" s="24"/>
      <c r="UIU8" s="24"/>
      <c r="UIV8" s="24"/>
      <c r="UIW8" s="24"/>
      <c r="UIX8" s="24"/>
      <c r="UIY8" s="24"/>
      <c r="UIZ8" s="24"/>
      <c r="UJA8" s="24"/>
      <c r="UJB8" s="24"/>
      <c r="UJC8" s="24"/>
      <c r="UJD8" s="24"/>
      <c r="UJE8" s="24"/>
      <c r="UJF8" s="24"/>
      <c r="UJG8" s="24"/>
      <c r="UJH8" s="24"/>
      <c r="UJI8" s="24"/>
      <c r="UJJ8" s="24"/>
      <c r="UJK8" s="24"/>
      <c r="UJL8" s="24"/>
      <c r="UJM8" s="24"/>
      <c r="UJN8" s="24"/>
      <c r="UJO8" s="24"/>
      <c r="UJP8" s="24"/>
      <c r="UJQ8" s="24"/>
      <c r="UJR8" s="24"/>
      <c r="UJS8" s="24"/>
      <c r="UJT8" s="24"/>
      <c r="UJU8" s="24"/>
      <c r="UJV8" s="24"/>
      <c r="UJW8" s="24"/>
      <c r="UJX8" s="24"/>
      <c r="UJY8" s="24"/>
      <c r="UJZ8" s="24"/>
      <c r="UKA8" s="24"/>
      <c r="UKB8" s="24"/>
      <c r="UKC8" s="24"/>
      <c r="UKD8" s="24"/>
      <c r="UKE8" s="24"/>
      <c r="UKF8" s="24"/>
      <c r="UKG8" s="24"/>
      <c r="UKH8" s="24"/>
      <c r="UKI8" s="24"/>
      <c r="UKJ8" s="24"/>
      <c r="UKK8" s="24"/>
      <c r="UKL8" s="24"/>
      <c r="UKM8" s="24"/>
      <c r="UKN8" s="24"/>
      <c r="UKO8" s="24"/>
      <c r="UKP8" s="24"/>
      <c r="UKQ8" s="24"/>
      <c r="UKR8" s="24"/>
      <c r="UKS8" s="24"/>
      <c r="UKT8" s="24"/>
      <c r="UKU8" s="24"/>
      <c r="UKV8" s="24"/>
      <c r="UKW8" s="24"/>
      <c r="UKX8" s="24"/>
      <c r="UKY8" s="24"/>
      <c r="UKZ8" s="24"/>
      <c r="ULA8" s="24"/>
      <c r="ULB8" s="24"/>
      <c r="ULC8" s="24"/>
      <c r="ULD8" s="24"/>
      <c r="ULE8" s="24"/>
      <c r="ULF8" s="24"/>
      <c r="ULG8" s="24"/>
      <c r="ULH8" s="24"/>
      <c r="ULI8" s="24"/>
      <c r="ULJ8" s="24"/>
      <c r="ULK8" s="24"/>
      <c r="ULL8" s="24"/>
      <c r="ULM8" s="24"/>
      <c r="ULN8" s="24"/>
      <c r="ULO8" s="24"/>
      <c r="ULP8" s="24"/>
      <c r="ULQ8" s="24"/>
      <c r="ULR8" s="24"/>
      <c r="ULS8" s="24"/>
      <c r="ULT8" s="24"/>
      <c r="ULU8" s="24"/>
      <c r="ULV8" s="24"/>
      <c r="ULW8" s="24"/>
      <c r="ULX8" s="24"/>
      <c r="ULY8" s="24"/>
      <c r="ULZ8" s="24"/>
      <c r="UMA8" s="24"/>
      <c r="UMB8" s="24"/>
      <c r="UMC8" s="24"/>
      <c r="UMD8" s="24"/>
      <c r="UME8" s="24"/>
      <c r="UMF8" s="24"/>
      <c r="UMG8" s="24"/>
      <c r="UMH8" s="24"/>
      <c r="UMI8" s="24"/>
      <c r="UMJ8" s="24"/>
      <c r="UMK8" s="24"/>
      <c r="UML8" s="24"/>
      <c r="UMM8" s="24"/>
      <c r="UMN8" s="24"/>
      <c r="UMO8" s="24"/>
      <c r="UMP8" s="24"/>
      <c r="UMQ8" s="24"/>
      <c r="UMR8" s="24"/>
      <c r="UMS8" s="24"/>
      <c r="UMT8" s="24"/>
      <c r="UMU8" s="24"/>
      <c r="UMV8" s="24"/>
      <c r="UMW8" s="24"/>
      <c r="UMX8" s="24"/>
      <c r="UMY8" s="24"/>
      <c r="UMZ8" s="24"/>
      <c r="UNA8" s="24"/>
      <c r="UNB8" s="24"/>
      <c r="UNC8" s="24"/>
      <c r="UND8" s="24"/>
      <c r="UNE8" s="24"/>
      <c r="UNF8" s="24"/>
      <c r="UNG8" s="24"/>
      <c r="UNH8" s="24"/>
      <c r="UNI8" s="24"/>
      <c r="UNJ8" s="24"/>
      <c r="UNK8" s="24"/>
      <c r="UNL8" s="24"/>
      <c r="UNM8" s="24"/>
      <c r="UNN8" s="24"/>
      <c r="UNO8" s="24"/>
      <c r="UNP8" s="24"/>
      <c r="UNQ8" s="24"/>
      <c r="UNR8" s="24"/>
      <c r="UNS8" s="24"/>
      <c r="UNT8" s="24"/>
      <c r="UNU8" s="24"/>
      <c r="UNV8" s="24"/>
      <c r="UNW8" s="24"/>
      <c r="UNX8" s="24"/>
      <c r="UNY8" s="24"/>
      <c r="UNZ8" s="24"/>
      <c r="UOA8" s="24"/>
      <c r="UOB8" s="24"/>
      <c r="UOC8" s="24"/>
      <c r="UOD8" s="24"/>
      <c r="UOE8" s="24"/>
      <c r="UOF8" s="24"/>
      <c r="UOG8" s="24"/>
      <c r="UOH8" s="24"/>
      <c r="UOI8" s="24"/>
      <c r="UOJ8" s="24"/>
      <c r="UOK8" s="24"/>
      <c r="UOL8" s="24"/>
      <c r="UOM8" s="24"/>
      <c r="UON8" s="24"/>
      <c r="UOO8" s="24"/>
      <c r="UOP8" s="24"/>
      <c r="UOQ8" s="24"/>
      <c r="UOR8" s="24"/>
      <c r="UOS8" s="24"/>
      <c r="UOT8" s="24"/>
      <c r="UOU8" s="24"/>
      <c r="UOV8" s="24"/>
      <c r="UOW8" s="24"/>
      <c r="UOX8" s="24"/>
      <c r="UOY8" s="24"/>
      <c r="UOZ8" s="24"/>
      <c r="UPA8" s="24"/>
      <c r="UPB8" s="24"/>
      <c r="UPC8" s="24"/>
      <c r="UPD8" s="24"/>
      <c r="UPE8" s="24"/>
      <c r="UPF8" s="24"/>
      <c r="UPG8" s="24"/>
      <c r="UPH8" s="24"/>
      <c r="UPI8" s="24"/>
      <c r="UPJ8" s="24"/>
      <c r="UPK8" s="24"/>
      <c r="UPL8" s="24"/>
      <c r="UPM8" s="24"/>
      <c r="UPN8" s="24"/>
      <c r="UPO8" s="24"/>
      <c r="UPP8" s="24"/>
      <c r="UPQ8" s="24"/>
      <c r="UPR8" s="24"/>
      <c r="UPS8" s="24"/>
      <c r="UPT8" s="24"/>
      <c r="UPU8" s="24"/>
      <c r="UPV8" s="24"/>
      <c r="UPW8" s="24"/>
      <c r="UPX8" s="24"/>
      <c r="UPY8" s="24"/>
      <c r="UPZ8" s="24"/>
      <c r="UQA8" s="24"/>
      <c r="UQB8" s="24"/>
      <c r="UQC8" s="24"/>
      <c r="UQD8" s="24"/>
      <c r="UQE8" s="24"/>
      <c r="UQF8" s="24"/>
      <c r="UQG8" s="24"/>
      <c r="UQH8" s="24"/>
      <c r="UQI8" s="24"/>
      <c r="UQJ8" s="24"/>
      <c r="UQK8" s="24"/>
      <c r="UQL8" s="24"/>
      <c r="UQM8" s="24"/>
      <c r="UQN8" s="24"/>
      <c r="UQO8" s="24"/>
      <c r="UQP8" s="24"/>
      <c r="UQQ8" s="24"/>
      <c r="UQR8" s="24"/>
      <c r="UQS8" s="24"/>
      <c r="UQT8" s="24"/>
      <c r="UQU8" s="24"/>
      <c r="UQV8" s="24"/>
      <c r="UQW8" s="24"/>
      <c r="UQX8" s="24"/>
      <c r="UQY8" s="24"/>
      <c r="UQZ8" s="24"/>
      <c r="URA8" s="24"/>
      <c r="URB8" s="24"/>
      <c r="URC8" s="24"/>
      <c r="URD8" s="24"/>
      <c r="URE8" s="24"/>
      <c r="URF8" s="24"/>
      <c r="URG8" s="24"/>
      <c r="URH8" s="24"/>
      <c r="URI8" s="24"/>
      <c r="URJ8" s="24"/>
      <c r="URK8" s="24"/>
      <c r="URL8" s="24"/>
      <c r="URM8" s="24"/>
      <c r="URN8" s="24"/>
      <c r="URO8" s="24"/>
      <c r="URP8" s="24"/>
      <c r="URQ8" s="24"/>
      <c r="URR8" s="24"/>
      <c r="URS8" s="24"/>
      <c r="URT8" s="24"/>
      <c r="URU8" s="24"/>
      <c r="URV8" s="24"/>
      <c r="URW8" s="24"/>
      <c r="URX8" s="24"/>
      <c r="URY8" s="24"/>
      <c r="URZ8" s="24"/>
      <c r="USA8" s="24"/>
      <c r="USB8" s="24"/>
      <c r="USC8" s="24"/>
      <c r="USD8" s="24"/>
      <c r="USE8" s="24"/>
      <c r="USF8" s="24"/>
      <c r="USG8" s="24"/>
      <c r="USH8" s="24"/>
      <c r="USI8" s="24"/>
      <c r="USJ8" s="24"/>
      <c r="USK8" s="24"/>
      <c r="USL8" s="24"/>
      <c r="USM8" s="24"/>
      <c r="USN8" s="24"/>
      <c r="USO8" s="24"/>
      <c r="USP8" s="24"/>
      <c r="USQ8" s="24"/>
      <c r="USR8" s="24"/>
      <c r="USS8" s="24"/>
      <c r="UST8" s="24"/>
      <c r="USU8" s="24"/>
      <c r="USV8" s="24"/>
      <c r="USW8" s="24"/>
      <c r="USX8" s="24"/>
      <c r="USY8" s="24"/>
      <c r="USZ8" s="24"/>
      <c r="UTA8" s="24"/>
      <c r="UTB8" s="24"/>
      <c r="UTC8" s="24"/>
      <c r="UTD8" s="24"/>
      <c r="UTE8" s="24"/>
      <c r="UTF8" s="24"/>
      <c r="UTG8" s="24"/>
      <c r="UTH8" s="24"/>
      <c r="UTI8" s="24"/>
      <c r="UTJ8" s="24"/>
      <c r="UTK8" s="24"/>
      <c r="UTL8" s="24"/>
      <c r="UTM8" s="24"/>
      <c r="UTN8" s="24"/>
      <c r="UTO8" s="24"/>
      <c r="UTP8" s="24"/>
      <c r="UTQ8" s="24"/>
      <c r="UTR8" s="24"/>
      <c r="UTS8" s="24"/>
      <c r="UTT8" s="24"/>
      <c r="UTU8" s="24"/>
      <c r="UTV8" s="24"/>
      <c r="UTW8" s="24"/>
      <c r="UTX8" s="24"/>
      <c r="UTY8" s="24"/>
      <c r="UTZ8" s="24"/>
      <c r="UUA8" s="24"/>
      <c r="UUB8" s="24"/>
      <c r="UUC8" s="24"/>
      <c r="UUD8" s="24"/>
      <c r="UUE8" s="24"/>
      <c r="UUF8" s="24"/>
      <c r="UUG8" s="24"/>
      <c r="UUH8" s="24"/>
      <c r="UUI8" s="24"/>
      <c r="UUJ8" s="24"/>
      <c r="UUK8" s="24"/>
      <c r="UUL8" s="24"/>
      <c r="UUM8" s="24"/>
      <c r="UUN8" s="24"/>
      <c r="UUO8" s="24"/>
      <c r="UUP8" s="24"/>
      <c r="UUQ8" s="24"/>
      <c r="UUR8" s="24"/>
      <c r="UUS8" s="24"/>
      <c r="UUT8" s="24"/>
      <c r="UUU8" s="24"/>
      <c r="UUV8" s="24"/>
      <c r="UUW8" s="24"/>
      <c r="UUX8" s="24"/>
      <c r="UUY8" s="24"/>
      <c r="UUZ8" s="24"/>
      <c r="UVA8" s="24"/>
      <c r="UVB8" s="24"/>
      <c r="UVC8" s="24"/>
      <c r="UVD8" s="24"/>
      <c r="UVE8" s="24"/>
      <c r="UVF8" s="24"/>
      <c r="UVG8" s="24"/>
      <c r="UVH8" s="24"/>
      <c r="UVI8" s="24"/>
      <c r="UVJ8" s="24"/>
      <c r="UVK8" s="24"/>
      <c r="UVL8" s="24"/>
      <c r="UVM8" s="24"/>
      <c r="UVN8" s="24"/>
      <c r="UVO8" s="24"/>
      <c r="UVP8" s="24"/>
      <c r="UVQ8" s="24"/>
      <c r="UVR8" s="24"/>
      <c r="UVS8" s="24"/>
      <c r="UVT8" s="24"/>
      <c r="UVU8" s="24"/>
      <c r="UVV8" s="24"/>
      <c r="UVW8" s="24"/>
      <c r="UVX8" s="24"/>
      <c r="UVY8" s="24"/>
      <c r="UVZ8" s="24"/>
      <c r="UWA8" s="24"/>
      <c r="UWB8" s="24"/>
      <c r="UWC8" s="24"/>
      <c r="UWD8" s="24"/>
      <c r="UWE8" s="24"/>
      <c r="UWF8" s="24"/>
      <c r="UWG8" s="24"/>
      <c r="UWH8" s="24"/>
      <c r="UWI8" s="24"/>
      <c r="UWJ8" s="24"/>
      <c r="UWK8" s="24"/>
      <c r="UWL8" s="24"/>
      <c r="UWM8" s="24"/>
      <c r="UWN8" s="24"/>
      <c r="UWO8" s="24"/>
      <c r="UWP8" s="24"/>
      <c r="UWQ8" s="24"/>
      <c r="UWR8" s="24"/>
      <c r="UWS8" s="24"/>
      <c r="UWT8" s="24"/>
      <c r="UWU8" s="24"/>
      <c r="UWV8" s="24"/>
      <c r="UWW8" s="24"/>
      <c r="UWX8" s="24"/>
      <c r="UWY8" s="24"/>
      <c r="UWZ8" s="24"/>
      <c r="UXA8" s="24"/>
      <c r="UXB8" s="24"/>
      <c r="UXC8" s="24"/>
      <c r="UXD8" s="24"/>
      <c r="UXE8" s="24"/>
      <c r="UXF8" s="24"/>
      <c r="UXG8" s="24"/>
      <c r="UXH8" s="24"/>
      <c r="UXI8" s="24"/>
      <c r="UXJ8" s="24"/>
      <c r="UXK8" s="24"/>
      <c r="UXL8" s="24"/>
      <c r="UXM8" s="24"/>
      <c r="UXN8" s="24"/>
      <c r="UXO8" s="24"/>
      <c r="UXP8" s="24"/>
      <c r="UXQ8" s="24"/>
      <c r="UXR8" s="24"/>
      <c r="UXS8" s="24"/>
      <c r="UXT8" s="24"/>
      <c r="UXU8" s="24"/>
      <c r="UXV8" s="24"/>
      <c r="UXW8" s="24"/>
      <c r="UXX8" s="24"/>
      <c r="UXY8" s="24"/>
      <c r="UXZ8" s="24"/>
      <c r="UYA8" s="24"/>
      <c r="UYB8" s="24"/>
      <c r="UYC8" s="24"/>
      <c r="UYD8" s="24"/>
      <c r="UYE8" s="24"/>
      <c r="UYF8" s="24"/>
      <c r="UYG8" s="24"/>
      <c r="UYH8" s="24"/>
      <c r="UYI8" s="24"/>
      <c r="UYJ8" s="24"/>
      <c r="UYK8" s="24"/>
      <c r="UYL8" s="24"/>
      <c r="UYM8" s="24"/>
      <c r="UYN8" s="24"/>
      <c r="UYO8" s="24"/>
      <c r="UYP8" s="24"/>
      <c r="UYQ8" s="24"/>
      <c r="UYR8" s="24"/>
      <c r="UYS8" s="24"/>
      <c r="UYT8" s="24"/>
      <c r="UYU8" s="24"/>
      <c r="UYV8" s="24"/>
      <c r="UYW8" s="24"/>
      <c r="UYX8" s="24"/>
      <c r="UYY8" s="24"/>
      <c r="UYZ8" s="24"/>
      <c r="UZA8" s="24"/>
      <c r="UZB8" s="24"/>
      <c r="UZC8" s="24"/>
      <c r="UZD8" s="24"/>
      <c r="UZE8" s="24"/>
      <c r="UZF8" s="24"/>
      <c r="UZG8" s="24"/>
      <c r="UZH8" s="24"/>
      <c r="UZI8" s="24"/>
      <c r="UZJ8" s="24"/>
      <c r="UZK8" s="24"/>
      <c r="UZL8" s="24"/>
      <c r="UZM8" s="24"/>
      <c r="UZN8" s="24"/>
      <c r="UZO8" s="24"/>
      <c r="UZP8" s="24"/>
      <c r="UZQ8" s="24"/>
      <c r="UZR8" s="24"/>
      <c r="UZS8" s="24"/>
      <c r="UZT8" s="24"/>
      <c r="UZU8" s="24"/>
      <c r="UZV8" s="24"/>
      <c r="UZW8" s="24"/>
      <c r="UZX8" s="24"/>
      <c r="UZY8" s="24"/>
      <c r="UZZ8" s="24"/>
      <c r="VAA8" s="24"/>
      <c r="VAB8" s="24"/>
      <c r="VAC8" s="24"/>
      <c r="VAD8" s="24"/>
      <c r="VAE8" s="24"/>
      <c r="VAF8" s="24"/>
      <c r="VAG8" s="24"/>
      <c r="VAH8" s="24"/>
      <c r="VAI8" s="24"/>
      <c r="VAJ8" s="24"/>
      <c r="VAK8" s="24"/>
      <c r="VAL8" s="24"/>
      <c r="VAM8" s="24"/>
      <c r="VAN8" s="24"/>
      <c r="VAO8" s="24"/>
      <c r="VAP8" s="24"/>
      <c r="VAQ8" s="24"/>
      <c r="VAR8" s="24"/>
      <c r="VAS8" s="24"/>
      <c r="VAT8" s="24"/>
      <c r="VAU8" s="24"/>
      <c r="VAV8" s="24"/>
      <c r="VAW8" s="24"/>
      <c r="VAX8" s="24"/>
      <c r="VAY8" s="24"/>
      <c r="VAZ8" s="24"/>
      <c r="VBA8" s="24"/>
      <c r="VBB8" s="24"/>
      <c r="VBC8" s="24"/>
      <c r="VBD8" s="24"/>
      <c r="VBE8" s="24"/>
      <c r="VBF8" s="24"/>
      <c r="VBG8" s="24"/>
      <c r="VBH8" s="24"/>
      <c r="VBI8" s="24"/>
      <c r="VBJ8" s="24"/>
      <c r="VBK8" s="24"/>
      <c r="VBL8" s="24"/>
      <c r="VBM8" s="24"/>
      <c r="VBN8" s="24"/>
      <c r="VBO8" s="24"/>
      <c r="VBP8" s="24"/>
      <c r="VBQ8" s="24"/>
      <c r="VBR8" s="24"/>
      <c r="VBS8" s="24"/>
      <c r="VBT8" s="24"/>
      <c r="VBU8" s="24"/>
      <c r="VBV8" s="24"/>
      <c r="VBW8" s="24"/>
      <c r="VBX8" s="24"/>
      <c r="VBY8" s="24"/>
      <c r="VBZ8" s="24"/>
      <c r="VCA8" s="24"/>
      <c r="VCB8" s="24"/>
      <c r="VCC8" s="24"/>
      <c r="VCD8" s="24"/>
      <c r="VCE8" s="24"/>
      <c r="VCF8" s="24"/>
      <c r="VCG8" s="24"/>
      <c r="VCH8" s="24"/>
      <c r="VCI8" s="24"/>
      <c r="VCJ8" s="24"/>
      <c r="VCK8" s="24"/>
      <c r="VCL8" s="24"/>
      <c r="VCM8" s="24"/>
      <c r="VCN8" s="24"/>
      <c r="VCO8" s="24"/>
      <c r="VCP8" s="24"/>
      <c r="VCQ8" s="24"/>
      <c r="VCR8" s="24"/>
      <c r="VCS8" s="24"/>
      <c r="VCT8" s="24"/>
      <c r="VCU8" s="24"/>
      <c r="VCV8" s="24"/>
      <c r="VCW8" s="24"/>
      <c r="VCX8" s="24"/>
      <c r="VCY8" s="24"/>
      <c r="VCZ8" s="24"/>
      <c r="VDA8" s="24"/>
      <c r="VDB8" s="24"/>
      <c r="VDC8" s="24"/>
      <c r="VDD8" s="24"/>
      <c r="VDE8" s="24"/>
      <c r="VDF8" s="24"/>
      <c r="VDG8" s="24"/>
      <c r="VDH8" s="24"/>
      <c r="VDI8" s="24"/>
      <c r="VDJ8" s="24"/>
      <c r="VDK8" s="24"/>
      <c r="VDL8" s="24"/>
      <c r="VDM8" s="24"/>
      <c r="VDN8" s="24"/>
      <c r="VDO8" s="24"/>
      <c r="VDP8" s="24"/>
      <c r="VDQ8" s="24"/>
      <c r="VDR8" s="24"/>
      <c r="VDS8" s="24"/>
      <c r="VDT8" s="24"/>
      <c r="VDU8" s="24"/>
      <c r="VDV8" s="24"/>
      <c r="VDW8" s="24"/>
      <c r="VDX8" s="24"/>
      <c r="VDY8" s="24"/>
      <c r="VDZ8" s="24"/>
      <c r="VEA8" s="24"/>
      <c r="VEB8" s="24"/>
      <c r="VEC8" s="24"/>
      <c r="VED8" s="24"/>
      <c r="VEE8" s="24"/>
      <c r="VEF8" s="24"/>
      <c r="VEG8" s="24"/>
      <c r="VEH8" s="24"/>
      <c r="VEI8" s="24"/>
      <c r="VEJ8" s="24"/>
      <c r="VEK8" s="24"/>
      <c r="VEL8" s="24"/>
      <c r="VEM8" s="24"/>
      <c r="VEN8" s="24"/>
      <c r="VEO8" s="24"/>
      <c r="VEP8" s="24"/>
      <c r="VEQ8" s="24"/>
      <c r="VER8" s="24"/>
      <c r="VES8" s="24"/>
      <c r="VET8" s="24"/>
      <c r="VEU8" s="24"/>
      <c r="VEV8" s="24"/>
      <c r="VEW8" s="24"/>
      <c r="VEX8" s="24"/>
      <c r="VEY8" s="24"/>
      <c r="VEZ8" s="24"/>
      <c r="VFA8" s="24"/>
      <c r="VFB8" s="24"/>
      <c r="VFC8" s="24"/>
      <c r="VFD8" s="24"/>
      <c r="VFE8" s="24"/>
      <c r="VFF8" s="24"/>
      <c r="VFG8" s="24"/>
      <c r="VFH8" s="24"/>
      <c r="VFI8" s="24"/>
      <c r="VFJ8" s="24"/>
      <c r="VFK8" s="24"/>
      <c r="VFL8" s="24"/>
      <c r="VFM8" s="24"/>
      <c r="VFN8" s="24"/>
      <c r="VFO8" s="24"/>
      <c r="VFP8" s="24"/>
      <c r="VFQ8" s="24"/>
      <c r="VFR8" s="24"/>
      <c r="VFS8" s="24"/>
      <c r="VFT8" s="24"/>
      <c r="VFU8" s="24"/>
      <c r="VFV8" s="24"/>
      <c r="VFW8" s="24"/>
      <c r="VFX8" s="24"/>
      <c r="VFY8" s="24"/>
      <c r="VFZ8" s="24"/>
      <c r="VGA8" s="24"/>
      <c r="VGB8" s="24"/>
      <c r="VGC8" s="24"/>
      <c r="VGD8" s="24"/>
      <c r="VGE8" s="24"/>
      <c r="VGF8" s="24"/>
      <c r="VGG8" s="24"/>
      <c r="VGH8" s="24"/>
      <c r="VGI8" s="24"/>
      <c r="VGJ8" s="24"/>
      <c r="VGK8" s="24"/>
      <c r="VGL8" s="24"/>
      <c r="VGM8" s="24"/>
      <c r="VGN8" s="24"/>
      <c r="VGO8" s="24"/>
      <c r="VGP8" s="24"/>
      <c r="VGQ8" s="24"/>
      <c r="VGR8" s="24"/>
      <c r="VGS8" s="24"/>
      <c r="VGT8" s="24"/>
      <c r="VGU8" s="24"/>
      <c r="VGV8" s="24"/>
      <c r="VGW8" s="24"/>
      <c r="VGX8" s="24"/>
      <c r="VGY8" s="24"/>
      <c r="VGZ8" s="24"/>
      <c r="VHA8" s="24"/>
      <c r="VHB8" s="24"/>
      <c r="VHC8" s="24"/>
      <c r="VHD8" s="24"/>
      <c r="VHE8" s="24"/>
      <c r="VHF8" s="24"/>
      <c r="VHG8" s="24"/>
      <c r="VHH8" s="24"/>
      <c r="VHI8" s="24"/>
      <c r="VHJ8" s="24"/>
      <c r="VHK8" s="24"/>
      <c r="VHL8" s="24"/>
      <c r="VHM8" s="24"/>
      <c r="VHN8" s="24"/>
      <c r="VHO8" s="24"/>
      <c r="VHP8" s="24"/>
      <c r="VHQ8" s="24"/>
      <c r="VHR8" s="24"/>
      <c r="VHS8" s="24"/>
      <c r="VHT8" s="24"/>
      <c r="VHU8" s="24"/>
      <c r="VHV8" s="24"/>
      <c r="VHW8" s="24"/>
      <c r="VHX8" s="24"/>
      <c r="VHY8" s="24"/>
      <c r="VHZ8" s="24"/>
      <c r="VIA8" s="24"/>
      <c r="VIB8" s="24"/>
      <c r="VIC8" s="24"/>
      <c r="VID8" s="24"/>
      <c r="VIE8" s="24"/>
      <c r="VIF8" s="24"/>
      <c r="VIG8" s="24"/>
      <c r="VIH8" s="24"/>
      <c r="VII8" s="24"/>
      <c r="VIJ8" s="24"/>
      <c r="VIK8" s="24"/>
      <c r="VIL8" s="24"/>
      <c r="VIM8" s="24"/>
      <c r="VIN8" s="24"/>
      <c r="VIO8" s="24"/>
      <c r="VIP8" s="24"/>
      <c r="VIQ8" s="24"/>
      <c r="VIR8" s="24"/>
      <c r="VIS8" s="24"/>
      <c r="VIT8" s="24"/>
      <c r="VIU8" s="24"/>
      <c r="VIV8" s="24"/>
      <c r="VIW8" s="24"/>
      <c r="VIX8" s="24"/>
      <c r="VIY8" s="24"/>
      <c r="VIZ8" s="24"/>
      <c r="VJA8" s="24"/>
      <c r="VJB8" s="24"/>
      <c r="VJC8" s="24"/>
      <c r="VJD8" s="24"/>
      <c r="VJE8" s="24"/>
      <c r="VJF8" s="24"/>
      <c r="VJG8" s="24"/>
      <c r="VJH8" s="24"/>
      <c r="VJI8" s="24"/>
      <c r="VJJ8" s="24"/>
      <c r="VJK8" s="24"/>
      <c r="VJL8" s="24"/>
      <c r="VJM8" s="24"/>
      <c r="VJN8" s="24"/>
      <c r="VJO8" s="24"/>
      <c r="VJP8" s="24"/>
      <c r="VJQ8" s="24"/>
      <c r="VJR8" s="24"/>
      <c r="VJS8" s="24"/>
      <c r="VJT8" s="24"/>
      <c r="VJU8" s="24"/>
      <c r="VJV8" s="24"/>
      <c r="VJW8" s="24"/>
      <c r="VJX8" s="24"/>
      <c r="VJY8" s="24"/>
      <c r="VJZ8" s="24"/>
      <c r="VKA8" s="24"/>
      <c r="VKB8" s="24"/>
      <c r="VKC8" s="24"/>
      <c r="VKD8" s="24"/>
      <c r="VKE8" s="24"/>
      <c r="VKF8" s="24"/>
      <c r="VKG8" s="24"/>
      <c r="VKH8" s="24"/>
      <c r="VKI8" s="24"/>
      <c r="VKJ8" s="24"/>
      <c r="VKK8" s="24"/>
      <c r="VKL8" s="24"/>
      <c r="VKM8" s="24"/>
      <c r="VKN8" s="24"/>
      <c r="VKO8" s="24"/>
      <c r="VKP8" s="24"/>
      <c r="VKQ8" s="24"/>
      <c r="VKR8" s="24"/>
      <c r="VKS8" s="24"/>
      <c r="VKT8" s="24"/>
      <c r="VKU8" s="24"/>
      <c r="VKV8" s="24"/>
      <c r="VKW8" s="24"/>
      <c r="VKX8" s="24"/>
      <c r="VKY8" s="24"/>
      <c r="VKZ8" s="24"/>
      <c r="VLA8" s="24"/>
      <c r="VLB8" s="24"/>
      <c r="VLC8" s="24"/>
      <c r="VLD8" s="24"/>
      <c r="VLE8" s="24"/>
      <c r="VLF8" s="24"/>
      <c r="VLG8" s="24"/>
      <c r="VLH8" s="24"/>
      <c r="VLI8" s="24"/>
      <c r="VLJ8" s="24"/>
      <c r="VLK8" s="24"/>
      <c r="VLL8" s="24"/>
      <c r="VLM8" s="24"/>
      <c r="VLN8" s="24"/>
      <c r="VLO8" s="24"/>
      <c r="VLP8" s="24"/>
      <c r="VLQ8" s="24"/>
      <c r="VLR8" s="24"/>
      <c r="VLS8" s="24"/>
      <c r="VLT8" s="24"/>
      <c r="VLU8" s="24"/>
      <c r="VLV8" s="24"/>
      <c r="VLW8" s="24"/>
      <c r="VLX8" s="24"/>
      <c r="VLY8" s="24"/>
      <c r="VLZ8" s="24"/>
      <c r="VMA8" s="24"/>
      <c r="VMB8" s="24"/>
      <c r="VMC8" s="24"/>
      <c r="VMD8" s="24"/>
      <c r="VME8" s="24"/>
      <c r="VMF8" s="24"/>
      <c r="VMG8" s="24"/>
      <c r="VMH8" s="24"/>
      <c r="VMI8" s="24"/>
      <c r="VMJ8" s="24"/>
      <c r="VMK8" s="24"/>
      <c r="VML8" s="24"/>
      <c r="VMM8" s="24"/>
      <c r="VMN8" s="24"/>
      <c r="VMO8" s="24"/>
      <c r="VMP8" s="24"/>
      <c r="VMQ8" s="24"/>
      <c r="VMR8" s="24"/>
      <c r="VMS8" s="24"/>
      <c r="VMT8" s="24"/>
      <c r="VMU8" s="24"/>
      <c r="VMV8" s="24"/>
      <c r="VMW8" s="24"/>
      <c r="VMX8" s="24"/>
      <c r="VMY8" s="24"/>
      <c r="VMZ8" s="24"/>
      <c r="VNA8" s="24"/>
      <c r="VNB8" s="24"/>
      <c r="VNC8" s="24"/>
      <c r="VND8" s="24"/>
      <c r="VNE8" s="24"/>
      <c r="VNF8" s="24"/>
      <c r="VNG8" s="24"/>
      <c r="VNH8" s="24"/>
      <c r="VNI8" s="24"/>
      <c r="VNJ8" s="24"/>
      <c r="VNK8" s="24"/>
      <c r="VNL8" s="24"/>
      <c r="VNM8" s="24"/>
      <c r="VNN8" s="24"/>
      <c r="VNO8" s="24"/>
      <c r="VNP8" s="24"/>
      <c r="VNQ8" s="24"/>
      <c r="VNR8" s="24"/>
      <c r="VNS8" s="24"/>
      <c r="VNT8" s="24"/>
      <c r="VNU8" s="24"/>
      <c r="VNV8" s="24"/>
      <c r="VNW8" s="24"/>
      <c r="VNX8" s="24"/>
      <c r="VNY8" s="24"/>
      <c r="VNZ8" s="24"/>
      <c r="VOA8" s="24"/>
      <c r="VOB8" s="24"/>
      <c r="VOC8" s="24"/>
      <c r="VOD8" s="24"/>
      <c r="VOE8" s="24"/>
      <c r="VOF8" s="24"/>
      <c r="VOG8" s="24"/>
      <c r="VOH8" s="24"/>
      <c r="VOI8" s="24"/>
      <c r="VOJ8" s="24"/>
      <c r="VOK8" s="24"/>
      <c r="VOL8" s="24"/>
      <c r="VOM8" s="24"/>
      <c r="VON8" s="24"/>
      <c r="VOO8" s="24"/>
      <c r="VOP8" s="24"/>
      <c r="VOQ8" s="24"/>
      <c r="VOR8" s="24"/>
      <c r="VOS8" s="24"/>
      <c r="VOT8" s="24"/>
      <c r="VOU8" s="24"/>
      <c r="VOV8" s="24"/>
      <c r="VOW8" s="24"/>
      <c r="VOX8" s="24"/>
      <c r="VOY8" s="24"/>
      <c r="VOZ8" s="24"/>
      <c r="VPA8" s="24"/>
      <c r="VPB8" s="24"/>
      <c r="VPC8" s="24"/>
      <c r="VPD8" s="24"/>
      <c r="VPE8" s="24"/>
      <c r="VPF8" s="24"/>
      <c r="VPG8" s="24"/>
      <c r="VPH8" s="24"/>
      <c r="VPI8" s="24"/>
      <c r="VPJ8" s="24"/>
      <c r="VPK8" s="24"/>
      <c r="VPL8" s="24"/>
      <c r="VPM8" s="24"/>
      <c r="VPN8" s="24"/>
      <c r="VPO8" s="24"/>
      <c r="VPP8" s="24"/>
      <c r="VPQ8" s="24"/>
      <c r="VPR8" s="24"/>
      <c r="VPS8" s="24"/>
      <c r="VPT8" s="24"/>
      <c r="VPU8" s="24"/>
      <c r="VPV8" s="24"/>
      <c r="VPW8" s="24"/>
      <c r="VPX8" s="24"/>
      <c r="VPY8" s="24"/>
      <c r="VPZ8" s="24"/>
      <c r="VQA8" s="24"/>
      <c r="VQB8" s="24"/>
      <c r="VQC8" s="24"/>
      <c r="VQD8" s="24"/>
      <c r="VQE8" s="24"/>
      <c r="VQF8" s="24"/>
      <c r="VQG8" s="24"/>
      <c r="VQH8" s="24"/>
      <c r="VQI8" s="24"/>
      <c r="VQJ8" s="24"/>
      <c r="VQK8" s="24"/>
      <c r="VQL8" s="24"/>
      <c r="VQM8" s="24"/>
      <c r="VQN8" s="24"/>
      <c r="VQO8" s="24"/>
      <c r="VQP8" s="24"/>
      <c r="VQQ8" s="24"/>
      <c r="VQR8" s="24"/>
      <c r="VQS8" s="24"/>
      <c r="VQT8" s="24"/>
      <c r="VQU8" s="24"/>
      <c r="VQV8" s="24"/>
      <c r="VQW8" s="24"/>
      <c r="VQX8" s="24"/>
      <c r="VQY8" s="24"/>
      <c r="VQZ8" s="24"/>
      <c r="VRA8" s="24"/>
      <c r="VRB8" s="24"/>
      <c r="VRC8" s="24"/>
      <c r="VRD8" s="24"/>
      <c r="VRE8" s="24"/>
      <c r="VRF8" s="24"/>
      <c r="VRG8" s="24"/>
      <c r="VRH8" s="24"/>
      <c r="VRI8" s="24"/>
      <c r="VRJ8" s="24"/>
      <c r="VRK8" s="24"/>
      <c r="VRL8" s="24"/>
      <c r="VRM8" s="24"/>
      <c r="VRN8" s="24"/>
      <c r="VRO8" s="24"/>
      <c r="VRP8" s="24"/>
      <c r="VRQ8" s="24"/>
      <c r="VRR8" s="24"/>
      <c r="VRS8" s="24"/>
      <c r="VRT8" s="24"/>
      <c r="VRU8" s="24"/>
      <c r="VRV8" s="24"/>
      <c r="VRW8" s="24"/>
      <c r="VRX8" s="24"/>
      <c r="VRY8" s="24"/>
      <c r="VRZ8" s="24"/>
      <c r="VSA8" s="24"/>
      <c r="VSB8" s="24"/>
      <c r="VSC8" s="24"/>
      <c r="VSD8" s="24"/>
      <c r="VSE8" s="24"/>
      <c r="VSF8" s="24"/>
      <c r="VSG8" s="24"/>
      <c r="VSH8" s="24"/>
      <c r="VSI8" s="24"/>
      <c r="VSJ8" s="24"/>
      <c r="VSK8" s="24"/>
      <c r="VSL8" s="24"/>
      <c r="VSM8" s="24"/>
      <c r="VSN8" s="24"/>
      <c r="VSO8" s="24"/>
      <c r="VSP8" s="24"/>
      <c r="VSQ8" s="24"/>
      <c r="VSR8" s="24"/>
      <c r="VSS8" s="24"/>
      <c r="VST8" s="24"/>
      <c r="VSU8" s="24"/>
      <c r="VSV8" s="24"/>
      <c r="VSW8" s="24"/>
      <c r="VSX8" s="24"/>
      <c r="VSY8" s="24"/>
      <c r="VSZ8" s="24"/>
      <c r="VTA8" s="24"/>
      <c r="VTB8" s="24"/>
      <c r="VTC8" s="24"/>
      <c r="VTD8" s="24"/>
      <c r="VTE8" s="24"/>
      <c r="VTF8" s="24"/>
      <c r="VTG8" s="24"/>
      <c r="VTH8" s="24"/>
      <c r="VTI8" s="24"/>
      <c r="VTJ8" s="24"/>
      <c r="VTK8" s="24"/>
      <c r="VTL8" s="24"/>
      <c r="VTM8" s="24"/>
      <c r="VTN8" s="24"/>
      <c r="VTO8" s="24"/>
      <c r="VTP8" s="24"/>
      <c r="VTQ8" s="24"/>
      <c r="VTR8" s="24"/>
      <c r="VTS8" s="24"/>
      <c r="VTT8" s="24"/>
      <c r="VTU8" s="24"/>
      <c r="VTV8" s="24"/>
      <c r="VTW8" s="24"/>
      <c r="VTX8" s="24"/>
      <c r="VTY8" s="24"/>
      <c r="VTZ8" s="24"/>
      <c r="VUA8" s="24"/>
      <c r="VUB8" s="24"/>
      <c r="VUC8" s="24"/>
      <c r="VUD8" s="24"/>
      <c r="VUE8" s="24"/>
      <c r="VUF8" s="24"/>
      <c r="VUG8" s="24"/>
      <c r="VUH8" s="24"/>
      <c r="VUI8" s="24"/>
      <c r="VUJ8" s="24"/>
      <c r="VUK8" s="24"/>
      <c r="VUL8" s="24"/>
      <c r="VUM8" s="24"/>
      <c r="VUN8" s="24"/>
      <c r="VUO8" s="24"/>
      <c r="VUP8" s="24"/>
      <c r="VUQ8" s="24"/>
      <c r="VUR8" s="24"/>
      <c r="VUS8" s="24"/>
      <c r="VUT8" s="24"/>
      <c r="VUU8" s="24"/>
      <c r="VUV8" s="24"/>
      <c r="VUW8" s="24"/>
      <c r="VUX8" s="24"/>
      <c r="VUY8" s="24"/>
      <c r="VUZ8" s="24"/>
      <c r="VVA8" s="24"/>
      <c r="VVB8" s="24"/>
      <c r="VVC8" s="24"/>
      <c r="VVD8" s="24"/>
      <c r="VVE8" s="24"/>
      <c r="VVF8" s="24"/>
      <c r="VVG8" s="24"/>
      <c r="VVH8" s="24"/>
      <c r="VVI8" s="24"/>
      <c r="VVJ8" s="24"/>
      <c r="VVK8" s="24"/>
      <c r="VVL8" s="24"/>
      <c r="VVM8" s="24"/>
      <c r="VVN8" s="24"/>
      <c r="VVO8" s="24"/>
      <c r="VVP8" s="24"/>
      <c r="VVQ8" s="24"/>
      <c r="VVR8" s="24"/>
      <c r="VVS8" s="24"/>
      <c r="VVT8" s="24"/>
      <c r="VVU8" s="24"/>
      <c r="VVV8" s="24"/>
      <c r="VVW8" s="24"/>
      <c r="VVX8" s="24"/>
      <c r="VVY8" s="24"/>
      <c r="VVZ8" s="24"/>
      <c r="VWA8" s="24"/>
      <c r="VWB8" s="24"/>
      <c r="VWC8" s="24"/>
      <c r="VWD8" s="24"/>
      <c r="VWE8" s="24"/>
      <c r="VWF8" s="24"/>
      <c r="VWG8" s="24"/>
      <c r="VWH8" s="24"/>
      <c r="VWI8" s="24"/>
      <c r="VWJ8" s="24"/>
      <c r="VWK8" s="24"/>
      <c r="VWL8" s="24"/>
      <c r="VWM8" s="24"/>
      <c r="VWN8" s="24"/>
      <c r="VWO8" s="24"/>
      <c r="VWP8" s="24"/>
      <c r="VWQ8" s="24"/>
      <c r="VWR8" s="24"/>
      <c r="VWS8" s="24"/>
      <c r="VWT8" s="24"/>
      <c r="VWU8" s="24"/>
      <c r="VWV8" s="24"/>
      <c r="VWW8" s="24"/>
      <c r="VWX8" s="24"/>
      <c r="VWY8" s="24"/>
      <c r="VWZ8" s="24"/>
      <c r="VXA8" s="24"/>
      <c r="VXB8" s="24"/>
      <c r="VXC8" s="24"/>
      <c r="VXD8" s="24"/>
      <c r="VXE8" s="24"/>
      <c r="VXF8" s="24"/>
      <c r="VXG8" s="24"/>
      <c r="VXH8" s="24"/>
      <c r="VXI8" s="24"/>
      <c r="VXJ8" s="24"/>
      <c r="VXK8" s="24"/>
      <c r="VXL8" s="24"/>
      <c r="VXM8" s="24"/>
      <c r="VXN8" s="24"/>
      <c r="VXO8" s="24"/>
      <c r="VXP8" s="24"/>
      <c r="VXQ8" s="24"/>
      <c r="VXR8" s="24"/>
      <c r="VXS8" s="24"/>
      <c r="VXT8" s="24"/>
      <c r="VXU8" s="24"/>
      <c r="VXV8" s="24"/>
      <c r="VXW8" s="24"/>
      <c r="VXX8" s="24"/>
      <c r="VXY8" s="24"/>
      <c r="VXZ8" s="24"/>
      <c r="VYA8" s="24"/>
      <c r="VYB8" s="24"/>
      <c r="VYC8" s="24"/>
      <c r="VYD8" s="24"/>
      <c r="VYE8" s="24"/>
      <c r="VYF8" s="24"/>
      <c r="VYG8" s="24"/>
      <c r="VYH8" s="24"/>
      <c r="VYI8" s="24"/>
      <c r="VYJ8" s="24"/>
      <c r="VYK8" s="24"/>
      <c r="VYL8" s="24"/>
      <c r="VYM8" s="24"/>
      <c r="VYN8" s="24"/>
      <c r="VYO8" s="24"/>
      <c r="VYP8" s="24"/>
      <c r="VYQ8" s="24"/>
      <c r="VYR8" s="24"/>
      <c r="VYS8" s="24"/>
      <c r="VYT8" s="24"/>
      <c r="VYU8" s="24"/>
      <c r="VYV8" s="24"/>
      <c r="VYW8" s="24"/>
      <c r="VYX8" s="24"/>
      <c r="VYY8" s="24"/>
      <c r="VYZ8" s="24"/>
      <c r="VZA8" s="24"/>
      <c r="VZB8" s="24"/>
      <c r="VZC8" s="24"/>
      <c r="VZD8" s="24"/>
      <c r="VZE8" s="24"/>
      <c r="VZF8" s="24"/>
      <c r="VZG8" s="24"/>
      <c r="VZH8" s="24"/>
      <c r="VZI8" s="24"/>
      <c r="VZJ8" s="24"/>
      <c r="VZK8" s="24"/>
      <c r="VZL8" s="24"/>
      <c r="VZM8" s="24"/>
      <c r="VZN8" s="24"/>
      <c r="VZO8" s="24"/>
      <c r="VZP8" s="24"/>
      <c r="VZQ8" s="24"/>
      <c r="VZR8" s="24"/>
      <c r="VZS8" s="24"/>
      <c r="VZT8" s="24"/>
      <c r="VZU8" s="24"/>
      <c r="VZV8" s="24"/>
      <c r="VZW8" s="24"/>
      <c r="VZX8" s="24"/>
      <c r="VZY8" s="24"/>
      <c r="VZZ8" s="24"/>
      <c r="WAA8" s="24"/>
      <c r="WAB8" s="24"/>
      <c r="WAC8" s="24"/>
      <c r="WAD8" s="24"/>
      <c r="WAE8" s="24"/>
      <c r="WAF8" s="24"/>
      <c r="WAG8" s="24"/>
      <c r="WAH8" s="24"/>
      <c r="WAI8" s="24"/>
      <c r="WAJ8" s="24"/>
      <c r="WAK8" s="24"/>
      <c r="WAL8" s="24"/>
      <c r="WAM8" s="24"/>
      <c r="WAN8" s="24"/>
      <c r="WAO8" s="24"/>
      <c r="WAP8" s="24"/>
      <c r="WAQ8" s="24"/>
      <c r="WAR8" s="24"/>
      <c r="WAS8" s="24"/>
      <c r="WAT8" s="24"/>
      <c r="WAU8" s="24"/>
      <c r="WAV8" s="24"/>
      <c r="WAW8" s="24"/>
      <c r="WAX8" s="24"/>
      <c r="WAY8" s="24"/>
      <c r="WAZ8" s="24"/>
      <c r="WBA8" s="24"/>
      <c r="WBB8" s="24"/>
      <c r="WBC8" s="24"/>
      <c r="WBD8" s="24"/>
      <c r="WBE8" s="24"/>
      <c r="WBF8" s="24"/>
      <c r="WBG8" s="24"/>
      <c r="WBH8" s="24"/>
      <c r="WBI8" s="24"/>
      <c r="WBJ8" s="24"/>
      <c r="WBK8" s="24"/>
      <c r="WBL8" s="24"/>
      <c r="WBM8" s="24"/>
      <c r="WBN8" s="24"/>
      <c r="WBO8" s="24"/>
      <c r="WBP8" s="24"/>
      <c r="WBQ8" s="24"/>
      <c r="WBR8" s="24"/>
      <c r="WBS8" s="24"/>
      <c r="WBT8" s="24"/>
      <c r="WBU8" s="24"/>
      <c r="WBV8" s="24"/>
      <c r="WBW8" s="24"/>
      <c r="WBX8" s="24"/>
      <c r="WBY8" s="24"/>
      <c r="WBZ8" s="24"/>
      <c r="WCA8" s="24"/>
      <c r="WCB8" s="24"/>
      <c r="WCC8" s="24"/>
      <c r="WCD8" s="24"/>
      <c r="WCE8" s="24"/>
      <c r="WCF8" s="24"/>
      <c r="WCG8" s="24"/>
      <c r="WCH8" s="24"/>
      <c r="WCI8" s="24"/>
      <c r="WCJ8" s="24"/>
      <c r="WCK8" s="24"/>
      <c r="WCL8" s="24"/>
      <c r="WCM8" s="24"/>
      <c r="WCN8" s="24"/>
      <c r="WCO8" s="24"/>
      <c r="WCP8" s="24"/>
      <c r="WCQ8" s="24"/>
      <c r="WCR8" s="24"/>
      <c r="WCS8" s="24"/>
      <c r="WCT8" s="24"/>
      <c r="WCU8" s="24"/>
      <c r="WCV8" s="24"/>
      <c r="WCW8" s="24"/>
      <c r="WCX8" s="24"/>
      <c r="WCY8" s="24"/>
      <c r="WCZ8" s="24"/>
      <c r="WDA8" s="24"/>
      <c r="WDB8" s="24"/>
      <c r="WDC8" s="24"/>
      <c r="WDD8" s="24"/>
      <c r="WDE8" s="24"/>
      <c r="WDF8" s="24"/>
      <c r="WDG8" s="24"/>
      <c r="WDH8" s="24"/>
      <c r="WDI8" s="24"/>
      <c r="WDJ8" s="24"/>
      <c r="WDK8" s="24"/>
      <c r="WDL8" s="24"/>
      <c r="WDM8" s="24"/>
      <c r="WDN8" s="24"/>
      <c r="WDO8" s="24"/>
      <c r="WDP8" s="24"/>
      <c r="WDQ8" s="24"/>
      <c r="WDR8" s="24"/>
      <c r="WDS8" s="24"/>
      <c r="WDT8" s="24"/>
      <c r="WDU8" s="24"/>
      <c r="WDV8" s="24"/>
      <c r="WDW8" s="24"/>
      <c r="WDX8" s="24"/>
      <c r="WDY8" s="24"/>
      <c r="WDZ8" s="24"/>
      <c r="WEA8" s="24"/>
      <c r="WEB8" s="24"/>
      <c r="WEC8" s="24"/>
      <c r="WED8" s="24"/>
      <c r="WEE8" s="24"/>
      <c r="WEF8" s="24"/>
      <c r="WEG8" s="24"/>
      <c r="WEH8" s="24"/>
      <c r="WEI8" s="24"/>
      <c r="WEJ8" s="24"/>
      <c r="WEK8" s="24"/>
      <c r="WEL8" s="24"/>
      <c r="WEM8" s="24"/>
      <c r="WEN8" s="24"/>
      <c r="WEO8" s="24"/>
      <c r="WEP8" s="24"/>
      <c r="WEQ8" s="24"/>
      <c r="WER8" s="24"/>
      <c r="WES8" s="24"/>
      <c r="WET8" s="24"/>
      <c r="WEU8" s="24"/>
      <c r="WEV8" s="24"/>
      <c r="WEW8" s="24"/>
      <c r="WEX8" s="24"/>
      <c r="WEY8" s="24"/>
      <c r="WEZ8" s="24"/>
      <c r="WFA8" s="24"/>
      <c r="WFB8" s="24"/>
      <c r="WFC8" s="24"/>
      <c r="WFD8" s="24"/>
      <c r="WFE8" s="24"/>
      <c r="WFF8" s="24"/>
      <c r="WFG8" s="24"/>
      <c r="WFH8" s="24"/>
      <c r="WFI8" s="24"/>
      <c r="WFJ8" s="24"/>
      <c r="WFK8" s="24"/>
      <c r="WFL8" s="24"/>
      <c r="WFM8" s="24"/>
      <c r="WFN8" s="24"/>
      <c r="WFO8" s="24"/>
      <c r="WFP8" s="24"/>
      <c r="WFQ8" s="24"/>
      <c r="WFR8" s="24"/>
      <c r="WFS8" s="24"/>
      <c r="WFT8" s="24"/>
      <c r="WFU8" s="24"/>
      <c r="WFV8" s="24"/>
      <c r="WFW8" s="24"/>
      <c r="WFX8" s="24"/>
      <c r="WFY8" s="24"/>
      <c r="WFZ8" s="24"/>
      <c r="WGA8" s="24"/>
      <c r="WGB8" s="24"/>
      <c r="WGC8" s="24"/>
      <c r="WGD8" s="24"/>
      <c r="WGE8" s="24"/>
      <c r="WGF8" s="24"/>
      <c r="WGG8" s="24"/>
      <c r="WGH8" s="24"/>
      <c r="WGI8" s="24"/>
      <c r="WGJ8" s="24"/>
      <c r="WGK8" s="24"/>
      <c r="WGL8" s="24"/>
      <c r="WGM8" s="24"/>
      <c r="WGN8" s="24"/>
      <c r="WGO8" s="24"/>
      <c r="WGP8" s="24"/>
      <c r="WGQ8" s="24"/>
      <c r="WGR8" s="24"/>
      <c r="WGS8" s="24"/>
      <c r="WGT8" s="24"/>
      <c r="WGU8" s="24"/>
      <c r="WGV8" s="24"/>
      <c r="WGW8" s="24"/>
      <c r="WGX8" s="24"/>
      <c r="WGY8" s="24"/>
      <c r="WGZ8" s="24"/>
      <c r="WHA8" s="24"/>
      <c r="WHB8" s="24"/>
      <c r="WHC8" s="24"/>
      <c r="WHD8" s="24"/>
      <c r="WHE8" s="24"/>
      <c r="WHF8" s="24"/>
      <c r="WHG8" s="24"/>
      <c r="WHH8" s="24"/>
      <c r="WHI8" s="24"/>
      <c r="WHJ8" s="24"/>
      <c r="WHK8" s="24"/>
      <c r="WHL8" s="24"/>
      <c r="WHM8" s="24"/>
      <c r="WHN8" s="24"/>
      <c r="WHO8" s="24"/>
      <c r="WHP8" s="24"/>
      <c r="WHQ8" s="24"/>
      <c r="WHR8" s="24"/>
      <c r="WHS8" s="24"/>
      <c r="WHT8" s="24"/>
      <c r="WHU8" s="24"/>
      <c r="WHV8" s="24"/>
      <c r="WHW8" s="24"/>
      <c r="WHX8" s="24"/>
      <c r="WHY8" s="24"/>
      <c r="WHZ8" s="24"/>
      <c r="WIA8" s="24"/>
      <c r="WIB8" s="24"/>
      <c r="WIC8" s="24"/>
      <c r="WID8" s="24"/>
      <c r="WIE8" s="24"/>
      <c r="WIF8" s="24"/>
      <c r="WIG8" s="24"/>
      <c r="WIH8" s="24"/>
      <c r="WII8" s="24"/>
      <c r="WIJ8" s="24"/>
      <c r="WIK8" s="24"/>
      <c r="WIL8" s="24"/>
      <c r="WIM8" s="24"/>
      <c r="WIN8" s="24"/>
      <c r="WIO8" s="24"/>
      <c r="WIP8" s="24"/>
      <c r="WIQ8" s="24"/>
      <c r="WIR8" s="24"/>
      <c r="WIS8" s="24"/>
      <c r="WIT8" s="24"/>
      <c r="WIU8" s="24"/>
      <c r="WIV8" s="24"/>
      <c r="WIW8" s="24"/>
      <c r="WIX8" s="24"/>
      <c r="WIY8" s="24"/>
      <c r="WIZ8" s="24"/>
      <c r="WJA8" s="24"/>
      <c r="WJB8" s="24"/>
      <c r="WJC8" s="24"/>
      <c r="WJD8" s="24"/>
      <c r="WJE8" s="24"/>
      <c r="WJF8" s="24"/>
      <c r="WJG8" s="24"/>
      <c r="WJH8" s="24"/>
      <c r="WJI8" s="24"/>
      <c r="WJJ8" s="24"/>
      <c r="WJK8" s="24"/>
      <c r="WJL8" s="24"/>
      <c r="WJM8" s="24"/>
      <c r="WJN8" s="24"/>
      <c r="WJO8" s="24"/>
      <c r="WJP8" s="24"/>
      <c r="WJQ8" s="24"/>
      <c r="WJR8" s="24"/>
      <c r="WJS8" s="24"/>
      <c r="WJT8" s="24"/>
      <c r="WJU8" s="24"/>
      <c r="WJV8" s="24"/>
      <c r="WJW8" s="24"/>
      <c r="WJX8" s="24"/>
      <c r="WJY8" s="24"/>
      <c r="WJZ8" s="24"/>
      <c r="WKA8" s="24"/>
      <c r="WKB8" s="24"/>
      <c r="WKC8" s="24"/>
      <c r="WKD8" s="24"/>
      <c r="WKE8" s="24"/>
      <c r="WKF8" s="24"/>
      <c r="WKG8" s="24"/>
      <c r="WKH8" s="24"/>
      <c r="WKI8" s="24"/>
      <c r="WKJ8" s="24"/>
      <c r="WKK8" s="24"/>
      <c r="WKL8" s="24"/>
      <c r="WKM8" s="24"/>
      <c r="WKN8" s="24"/>
      <c r="WKO8" s="24"/>
      <c r="WKP8" s="24"/>
      <c r="WKQ8" s="24"/>
      <c r="WKR8" s="24"/>
      <c r="WKS8" s="24"/>
      <c r="WKT8" s="24"/>
      <c r="WKU8" s="24"/>
      <c r="WKV8" s="24"/>
      <c r="WKW8" s="24"/>
      <c r="WKX8" s="24"/>
      <c r="WKY8" s="24"/>
      <c r="WKZ8" s="24"/>
      <c r="WLA8" s="24"/>
      <c r="WLB8" s="24"/>
      <c r="WLC8" s="24"/>
      <c r="WLD8" s="24"/>
      <c r="WLE8" s="24"/>
      <c r="WLF8" s="24"/>
      <c r="WLG8" s="24"/>
      <c r="WLH8" s="24"/>
      <c r="WLI8" s="24"/>
      <c r="WLJ8" s="24"/>
      <c r="WLK8" s="24"/>
      <c r="WLL8" s="24"/>
      <c r="WLM8" s="24"/>
      <c r="WLN8" s="24"/>
      <c r="WLO8" s="24"/>
      <c r="WLP8" s="24"/>
      <c r="WLQ8" s="24"/>
      <c r="WLR8" s="24"/>
      <c r="WLS8" s="24"/>
      <c r="WLT8" s="24"/>
      <c r="WLU8" s="24"/>
      <c r="WLV8" s="24"/>
      <c r="WLW8" s="24"/>
      <c r="WLX8" s="24"/>
      <c r="WLY8" s="24"/>
      <c r="WLZ8" s="24"/>
      <c r="WMA8" s="24"/>
      <c r="WMB8" s="24"/>
      <c r="WMC8" s="24"/>
      <c r="WMD8" s="24"/>
      <c r="WME8" s="24"/>
      <c r="WMF8" s="24"/>
      <c r="WMG8" s="24"/>
      <c r="WMH8" s="24"/>
      <c r="WMI8" s="24"/>
      <c r="WMJ8" s="24"/>
      <c r="WMK8" s="24"/>
      <c r="WML8" s="24"/>
      <c r="WMM8" s="24"/>
      <c r="WMN8" s="24"/>
      <c r="WMO8" s="24"/>
      <c r="WMP8" s="24"/>
      <c r="WMQ8" s="24"/>
      <c r="WMR8" s="24"/>
      <c r="WMS8" s="24"/>
      <c r="WMT8" s="24"/>
      <c r="WMU8" s="24"/>
      <c r="WMV8" s="24"/>
      <c r="WMW8" s="24"/>
      <c r="WMX8" s="24"/>
      <c r="WMY8" s="24"/>
      <c r="WMZ8" s="24"/>
      <c r="WNA8" s="24"/>
      <c r="WNB8" s="24"/>
      <c r="WNC8" s="24"/>
      <c r="WND8" s="24"/>
      <c r="WNE8" s="24"/>
      <c r="WNF8" s="24"/>
      <c r="WNG8" s="24"/>
      <c r="WNH8" s="24"/>
      <c r="WNI8" s="24"/>
      <c r="WNJ8" s="24"/>
      <c r="WNK8" s="24"/>
      <c r="WNL8" s="24"/>
      <c r="WNM8" s="24"/>
      <c r="WNN8" s="24"/>
      <c r="WNO8" s="24"/>
      <c r="WNP8" s="24"/>
      <c r="WNQ8" s="24"/>
      <c r="WNR8" s="24"/>
      <c r="WNS8" s="24"/>
      <c r="WNT8" s="24"/>
      <c r="WNU8" s="24"/>
      <c r="WNV8" s="24"/>
      <c r="WNW8" s="24"/>
      <c r="WNX8" s="24"/>
      <c r="WNY8" s="24"/>
      <c r="WNZ8" s="24"/>
      <c r="WOA8" s="24"/>
      <c r="WOB8" s="24"/>
      <c r="WOC8" s="24"/>
      <c r="WOD8" s="24"/>
      <c r="WOE8" s="24"/>
      <c r="WOF8" s="24"/>
      <c r="WOG8" s="24"/>
      <c r="WOH8" s="24"/>
      <c r="WOI8" s="24"/>
      <c r="WOJ8" s="24"/>
      <c r="WOK8" s="24"/>
      <c r="WOL8" s="24"/>
      <c r="WOM8" s="24"/>
      <c r="WON8" s="24"/>
      <c r="WOO8" s="24"/>
      <c r="WOP8" s="24"/>
      <c r="WOQ8" s="24"/>
      <c r="WOR8" s="24"/>
      <c r="WOS8" s="24"/>
      <c r="WOT8" s="24"/>
      <c r="WOU8" s="24"/>
      <c r="WOV8" s="24"/>
      <c r="WOW8" s="24"/>
      <c r="WOX8" s="24"/>
      <c r="WOY8" s="24"/>
      <c r="WOZ8" s="24"/>
      <c r="WPA8" s="24"/>
      <c r="WPB8" s="24"/>
      <c r="WPC8" s="24"/>
      <c r="WPD8" s="24"/>
      <c r="WPE8" s="24"/>
      <c r="WPF8" s="24"/>
      <c r="WPG8" s="24"/>
      <c r="WPH8" s="24"/>
      <c r="WPI8" s="24"/>
      <c r="WPJ8" s="24"/>
      <c r="WPK8" s="24"/>
      <c r="WPL8" s="24"/>
      <c r="WPM8" s="24"/>
      <c r="WPN8" s="24"/>
      <c r="WPO8" s="24"/>
      <c r="WPP8" s="24"/>
      <c r="WPQ8" s="24"/>
      <c r="WPR8" s="24"/>
      <c r="WPS8" s="24"/>
      <c r="WPT8" s="24"/>
      <c r="WPU8" s="24"/>
      <c r="WPV8" s="24"/>
      <c r="WPW8" s="24"/>
      <c r="WPX8" s="24"/>
      <c r="WPY8" s="24"/>
      <c r="WPZ8" s="24"/>
      <c r="WQA8" s="24"/>
      <c r="WQB8" s="24"/>
      <c r="WQC8" s="24"/>
      <c r="WQD8" s="24"/>
      <c r="WQE8" s="24"/>
      <c r="WQF8" s="24"/>
      <c r="WQG8" s="24"/>
      <c r="WQH8" s="24"/>
      <c r="WQI8" s="24"/>
      <c r="WQJ8" s="24"/>
      <c r="WQK8" s="24"/>
      <c r="WQL8" s="24"/>
      <c r="WQM8" s="24"/>
      <c r="WQN8" s="24"/>
      <c r="WQO8" s="24"/>
      <c r="WQP8" s="24"/>
      <c r="WQQ8" s="24"/>
      <c r="WQR8" s="24"/>
      <c r="WQS8" s="24"/>
      <c r="WQT8" s="24"/>
      <c r="WQU8" s="24"/>
      <c r="WQV8" s="24"/>
      <c r="WQW8" s="24"/>
      <c r="WQX8" s="24"/>
      <c r="WQY8" s="24"/>
      <c r="WQZ8" s="24"/>
      <c r="WRA8" s="24"/>
      <c r="WRB8" s="24"/>
      <c r="WRC8" s="24"/>
      <c r="WRD8" s="24"/>
      <c r="WRE8" s="24"/>
      <c r="WRF8" s="24"/>
      <c r="WRG8" s="24"/>
      <c r="WRH8" s="24"/>
      <c r="WRI8" s="24"/>
      <c r="WRJ8" s="24"/>
      <c r="WRK8" s="24"/>
      <c r="WRL8" s="24"/>
      <c r="WRM8" s="24"/>
      <c r="WRN8" s="24"/>
      <c r="WRO8" s="24"/>
      <c r="WRP8" s="24"/>
      <c r="WRQ8" s="24"/>
      <c r="WRR8" s="24"/>
      <c r="WRS8" s="24"/>
      <c r="WRT8" s="24"/>
      <c r="WRU8" s="24"/>
      <c r="WRV8" s="24"/>
      <c r="WRW8" s="24"/>
      <c r="WRX8" s="24"/>
      <c r="WRY8" s="24"/>
      <c r="WRZ8" s="24"/>
      <c r="WSA8" s="24"/>
      <c r="WSB8" s="24"/>
      <c r="WSC8" s="24"/>
      <c r="WSD8" s="24"/>
      <c r="WSE8" s="24"/>
      <c r="WSF8" s="24"/>
      <c r="WSG8" s="24"/>
      <c r="WSH8" s="24"/>
      <c r="WSI8" s="24"/>
      <c r="WSJ8" s="24"/>
      <c r="WSK8" s="24"/>
      <c r="WSL8" s="24"/>
      <c r="WSM8" s="24"/>
      <c r="WSN8" s="24"/>
      <c r="WSO8" s="24"/>
      <c r="WSP8" s="24"/>
      <c r="WSQ8" s="24"/>
      <c r="WSR8" s="24"/>
      <c r="WSS8" s="24"/>
      <c r="WST8" s="24"/>
      <c r="WSU8" s="24"/>
      <c r="WSV8" s="24"/>
      <c r="WSW8" s="24"/>
      <c r="WSX8" s="24"/>
      <c r="WSY8" s="24"/>
      <c r="WSZ8" s="24"/>
      <c r="WTA8" s="24"/>
      <c r="WTB8" s="24"/>
      <c r="WTC8" s="24"/>
      <c r="WTD8" s="24"/>
      <c r="WTE8" s="24"/>
      <c r="WTF8" s="24"/>
      <c r="WTG8" s="24"/>
      <c r="WTH8" s="24"/>
      <c r="WTI8" s="24"/>
      <c r="WTJ8" s="24"/>
      <c r="WTK8" s="24"/>
      <c r="WTL8" s="24"/>
      <c r="WTM8" s="24"/>
      <c r="WTN8" s="24"/>
      <c r="WTO8" s="24"/>
      <c r="WTP8" s="24"/>
      <c r="WTQ8" s="24"/>
      <c r="WTR8" s="24"/>
      <c r="WTS8" s="24"/>
      <c r="WTT8" s="24"/>
      <c r="WTU8" s="24"/>
      <c r="WTV8" s="24"/>
      <c r="WTW8" s="24"/>
      <c r="WTX8" s="24"/>
      <c r="WTY8" s="24"/>
      <c r="WTZ8" s="24"/>
      <c r="WUA8" s="24"/>
      <c r="WUB8" s="24"/>
      <c r="WUC8" s="24"/>
      <c r="WUD8" s="24"/>
      <c r="WUE8" s="24"/>
      <c r="WUF8" s="24"/>
      <c r="WUG8" s="24"/>
      <c r="WUH8" s="24"/>
      <c r="WUI8" s="24"/>
      <c r="WUJ8" s="24"/>
      <c r="WUK8" s="24"/>
      <c r="WUL8" s="24"/>
      <c r="WUM8" s="24"/>
      <c r="WUN8" s="24"/>
      <c r="WUO8" s="24"/>
      <c r="WUP8" s="24"/>
      <c r="WUQ8" s="24"/>
      <c r="WUR8" s="24"/>
      <c r="WUS8" s="24"/>
      <c r="WUT8" s="24"/>
      <c r="WUU8" s="24"/>
      <c r="WUV8" s="24"/>
      <c r="WUW8" s="24"/>
      <c r="WUX8" s="24"/>
      <c r="WUY8" s="24"/>
      <c r="WUZ8" s="24"/>
      <c r="WVA8" s="24"/>
      <c r="WVB8" s="24"/>
      <c r="WVC8" s="24"/>
      <c r="WVD8" s="24"/>
      <c r="WVE8" s="24"/>
      <c r="WVF8" s="24"/>
      <c r="WVG8" s="24"/>
      <c r="WVH8" s="24"/>
      <c r="WVI8" s="24"/>
      <c r="WVJ8" s="24"/>
      <c r="WVK8" s="24"/>
      <c r="WVL8" s="24"/>
      <c r="WVM8" s="24"/>
      <c r="WVN8" s="24"/>
      <c r="WVO8" s="24"/>
      <c r="WVP8" s="24"/>
      <c r="WVQ8" s="24"/>
      <c r="WVR8" s="24"/>
      <c r="WVS8" s="24"/>
      <c r="WVT8" s="24"/>
      <c r="WVU8" s="24"/>
      <c r="WVV8" s="24"/>
      <c r="WVW8" s="24"/>
      <c r="WVX8" s="24"/>
      <c r="WVY8" s="24"/>
      <c r="WVZ8" s="24"/>
      <c r="WWA8" s="24"/>
      <c r="WWB8" s="24"/>
      <c r="WWC8" s="24"/>
      <c r="WWD8" s="24"/>
      <c r="WWE8" s="24"/>
      <c r="WWF8" s="24"/>
      <c r="WWG8" s="24"/>
      <c r="WWH8" s="24"/>
      <c r="WWI8" s="24"/>
      <c r="WWJ8" s="24"/>
      <c r="WWK8" s="24"/>
      <c r="WWL8" s="24"/>
      <c r="WWM8" s="24"/>
      <c r="WWN8" s="24"/>
      <c r="WWO8" s="24"/>
      <c r="WWP8" s="24"/>
      <c r="WWQ8" s="24"/>
      <c r="WWR8" s="24"/>
      <c r="WWS8" s="24"/>
      <c r="WWT8" s="24"/>
      <c r="WWU8" s="24"/>
      <c r="WWV8" s="24"/>
      <c r="WWW8" s="24"/>
      <c r="WWX8" s="24"/>
      <c r="WWY8" s="24"/>
      <c r="WWZ8" s="24"/>
      <c r="WXA8" s="24"/>
      <c r="WXB8" s="24"/>
      <c r="WXC8" s="24"/>
      <c r="WXD8" s="24"/>
      <c r="WXE8" s="24"/>
      <c r="WXF8" s="24"/>
      <c r="WXG8" s="24"/>
      <c r="WXH8" s="24"/>
      <c r="WXI8" s="24"/>
      <c r="WXJ8" s="24"/>
      <c r="WXK8" s="24"/>
      <c r="WXL8" s="24"/>
      <c r="WXM8" s="24"/>
      <c r="WXN8" s="24"/>
      <c r="WXO8" s="24"/>
      <c r="WXP8" s="24"/>
      <c r="WXQ8" s="24"/>
      <c r="WXR8" s="24"/>
      <c r="WXS8" s="24"/>
      <c r="WXT8" s="24"/>
      <c r="WXU8" s="24"/>
      <c r="WXV8" s="24"/>
      <c r="WXW8" s="24"/>
      <c r="WXX8" s="24"/>
      <c r="WXY8" s="24"/>
      <c r="WXZ8" s="24"/>
      <c r="WYA8" s="24"/>
      <c r="WYB8" s="24"/>
      <c r="WYC8" s="24"/>
      <c r="WYD8" s="24"/>
      <c r="WYE8" s="24"/>
      <c r="WYF8" s="24"/>
      <c r="WYG8" s="24"/>
      <c r="WYH8" s="24"/>
      <c r="WYI8" s="24"/>
      <c r="WYJ8" s="24"/>
      <c r="WYK8" s="24"/>
      <c r="WYL8" s="24"/>
      <c r="WYM8" s="24"/>
      <c r="WYN8" s="24"/>
      <c r="WYO8" s="24"/>
      <c r="WYP8" s="24"/>
      <c r="WYQ8" s="24"/>
      <c r="WYR8" s="24"/>
      <c r="WYS8" s="24"/>
      <c r="WYT8" s="24"/>
      <c r="WYU8" s="24"/>
      <c r="WYV8" s="24"/>
      <c r="WYW8" s="24"/>
      <c r="WYX8" s="24"/>
      <c r="WYY8" s="24"/>
      <c r="WYZ8" s="24"/>
      <c r="WZA8" s="24"/>
      <c r="WZB8" s="24"/>
      <c r="WZC8" s="24"/>
      <c r="WZD8" s="24"/>
      <c r="WZE8" s="24"/>
      <c r="WZF8" s="24"/>
      <c r="WZG8" s="24"/>
      <c r="WZH8" s="24"/>
      <c r="WZI8" s="24"/>
      <c r="WZJ8" s="24"/>
      <c r="WZK8" s="24"/>
      <c r="WZL8" s="24"/>
      <c r="WZM8" s="24"/>
      <c r="WZN8" s="24"/>
      <c r="WZO8" s="24"/>
      <c r="WZP8" s="24"/>
      <c r="WZQ8" s="24"/>
      <c r="WZR8" s="24"/>
      <c r="WZS8" s="24"/>
      <c r="WZT8" s="24"/>
      <c r="WZU8" s="24"/>
      <c r="WZV8" s="24"/>
      <c r="WZW8" s="24"/>
      <c r="WZX8" s="24"/>
      <c r="WZY8" s="24"/>
      <c r="WZZ8" s="24"/>
      <c r="XAA8" s="24"/>
      <c r="XAB8" s="24"/>
      <c r="XAC8" s="24"/>
      <c r="XAD8" s="24"/>
      <c r="XAE8" s="24"/>
      <c r="XAF8" s="24"/>
      <c r="XAG8" s="24"/>
      <c r="XAH8" s="24"/>
      <c r="XAI8" s="24"/>
      <c r="XAJ8" s="24"/>
      <c r="XAK8" s="24"/>
      <c r="XAL8" s="24"/>
      <c r="XAM8" s="24"/>
      <c r="XAN8" s="24"/>
      <c r="XAO8" s="24"/>
      <c r="XAP8" s="24"/>
      <c r="XAQ8" s="24"/>
      <c r="XAR8" s="24"/>
      <c r="XAS8" s="24"/>
      <c r="XAT8" s="24"/>
      <c r="XAU8" s="24"/>
      <c r="XAV8" s="24"/>
      <c r="XAW8" s="24"/>
      <c r="XAX8" s="24"/>
      <c r="XAY8" s="24"/>
      <c r="XAZ8" s="24"/>
      <c r="XBA8" s="24"/>
      <c r="XBB8" s="24"/>
      <c r="XBC8" s="24"/>
      <c r="XBD8" s="24"/>
      <c r="XBE8" s="24"/>
      <c r="XBF8" s="24"/>
      <c r="XBG8" s="24"/>
      <c r="XBH8" s="24"/>
      <c r="XBI8" s="24"/>
      <c r="XBJ8" s="24"/>
      <c r="XBK8" s="24"/>
      <c r="XBL8" s="24"/>
      <c r="XBM8" s="24"/>
      <c r="XBN8" s="24"/>
      <c r="XBO8" s="24"/>
      <c r="XBP8" s="24"/>
      <c r="XBQ8" s="24"/>
      <c r="XBR8" s="24"/>
      <c r="XBS8" s="24"/>
      <c r="XBT8" s="24"/>
      <c r="XBU8" s="24"/>
      <c r="XBV8" s="24"/>
      <c r="XBW8" s="24"/>
      <c r="XBX8" s="24"/>
      <c r="XBY8" s="24"/>
      <c r="XBZ8" s="24"/>
      <c r="XCA8" s="24"/>
      <c r="XCB8" s="24"/>
      <c r="XCC8" s="24"/>
      <c r="XCD8" s="24"/>
      <c r="XCE8" s="24"/>
      <c r="XCF8" s="24"/>
      <c r="XCG8" s="24"/>
      <c r="XCH8" s="24"/>
      <c r="XCI8" s="24"/>
      <c r="XCJ8" s="24"/>
      <c r="XCK8" s="24"/>
      <c r="XCL8" s="24"/>
      <c r="XCM8" s="24"/>
      <c r="XCN8" s="24"/>
      <c r="XCO8" s="24"/>
      <c r="XCP8" s="24"/>
      <c r="XCQ8" s="24"/>
      <c r="XCR8" s="24"/>
      <c r="XCS8" s="24"/>
      <c r="XCT8" s="24"/>
      <c r="XCU8" s="24"/>
      <c r="XCV8" s="24"/>
      <c r="XCW8" s="24"/>
      <c r="XCX8" s="24"/>
      <c r="XCY8" s="24"/>
      <c r="XCZ8" s="24"/>
      <c r="XDA8" s="24"/>
      <c r="XDB8" s="24"/>
      <c r="XDC8" s="24"/>
      <c r="XDD8" s="24"/>
      <c r="XDE8" s="24"/>
      <c r="XDF8" s="24"/>
      <c r="XDG8" s="24"/>
      <c r="XDH8" s="24"/>
      <c r="XDI8" s="24"/>
      <c r="XDJ8" s="24"/>
      <c r="XDK8" s="24"/>
      <c r="XDL8" s="24"/>
      <c r="XDM8" s="24"/>
      <c r="XDN8" s="24"/>
      <c r="XDO8" s="24"/>
      <c r="XDP8" s="24"/>
      <c r="XDQ8" s="24"/>
      <c r="XDR8" s="24"/>
      <c r="XDS8" s="24"/>
      <c r="XDT8" s="24"/>
      <c r="XDU8" s="24"/>
      <c r="XDV8" s="24"/>
      <c r="XDW8" s="24"/>
      <c r="XDX8" s="24"/>
      <c r="XDY8" s="24"/>
      <c r="XDZ8" s="24"/>
      <c r="XEA8" s="24"/>
      <c r="XEB8" s="24"/>
      <c r="XEC8" s="24"/>
      <c r="XED8" s="24"/>
      <c r="XEE8" s="24"/>
      <c r="XEF8" s="24"/>
      <c r="XEG8" s="24"/>
      <c r="XEH8" s="24"/>
      <c r="XEI8" s="24"/>
      <c r="XEJ8" s="24"/>
      <c r="XEK8" s="24"/>
      <c r="XEL8" s="24"/>
      <c r="XEM8" s="24"/>
      <c r="XEN8" s="24"/>
      <c r="XEO8" s="24"/>
      <c r="XEP8" s="24"/>
      <c r="XEQ8" s="24"/>
      <c r="XER8" s="24"/>
      <c r="XES8" s="24"/>
      <c r="XET8" s="24"/>
      <c r="XEU8" s="24"/>
      <c r="XEV8" s="24"/>
      <c r="XEW8" s="24"/>
      <c r="XEX8" s="24"/>
      <c r="XEY8" s="24"/>
      <c r="XEZ8" s="24"/>
      <c r="XFA8" s="24"/>
      <c r="XFB8" s="24"/>
      <c r="XFC8" s="24"/>
      <c r="XFD8" s="24"/>
    </row>
    <row r="9" spans="1:16384" x14ac:dyDescent="0.25">
      <c r="A9" t="s">
        <v>148</v>
      </c>
      <c r="B9" s="307" t="s">
        <v>173</v>
      </c>
      <c r="C9" s="307">
        <v>3667.58</v>
      </c>
      <c r="D9" s="307">
        <v>3952.92</v>
      </c>
      <c r="E9" s="307">
        <v>4383.67</v>
      </c>
      <c r="F9" s="307">
        <v>4734.83</v>
      </c>
      <c r="G9" s="307">
        <v>5049.92</v>
      </c>
      <c r="H9" s="307">
        <v>5284.33</v>
      </c>
      <c r="I9" s="307">
        <v>5707.67</v>
      </c>
      <c r="J9" s="307">
        <v>6161.75</v>
      </c>
      <c r="K9" s="307">
        <v>6656.08</v>
      </c>
      <c r="L9" s="307">
        <v>7186.58</v>
      </c>
      <c r="M9" s="34" t="s">
        <v>173</v>
      </c>
      <c r="N9" s="34" t="s">
        <v>173</v>
      </c>
      <c r="O9" s="34" t="s">
        <v>173</v>
      </c>
      <c r="P9" s="34" t="s">
        <v>173</v>
      </c>
      <c r="Q9" s="34" t="s">
        <v>173</v>
      </c>
      <c r="R9" s="34" t="s">
        <v>173</v>
      </c>
      <c r="S9" s="34" t="s">
        <v>173</v>
      </c>
      <c r="T9" s="34" t="s">
        <v>173</v>
      </c>
      <c r="U9" s="34" t="s">
        <v>173</v>
      </c>
      <c r="V9" s="34" t="s">
        <v>173</v>
      </c>
      <c r="W9" s="34" t="s">
        <v>173</v>
      </c>
      <c r="X9" s="34" t="s">
        <v>173</v>
      </c>
      <c r="Y9" s="36">
        <v>2.3E-2</v>
      </c>
      <c r="Z9" s="36">
        <v>2.3E-2</v>
      </c>
      <c r="AA9" s="36" t="s">
        <v>173</v>
      </c>
      <c r="AB9" s="36">
        <v>4.4400000000000002E-2</v>
      </c>
      <c r="AC9" s="36">
        <v>4.4400000000000002E-2</v>
      </c>
      <c r="AD9" s="36" t="s">
        <v>173</v>
      </c>
    </row>
    <row r="10" spans="1:16384" x14ac:dyDescent="0.25">
      <c r="A10" t="s">
        <v>149</v>
      </c>
      <c r="B10" s="307" t="s">
        <v>173</v>
      </c>
      <c r="C10" s="307">
        <v>3667.58</v>
      </c>
      <c r="D10" s="307">
        <v>3952.92</v>
      </c>
      <c r="E10" s="307">
        <v>4383.67</v>
      </c>
      <c r="F10" s="307">
        <v>4734.83</v>
      </c>
      <c r="G10" s="307">
        <v>5049.92</v>
      </c>
      <c r="H10" s="307">
        <v>5284.33</v>
      </c>
      <c r="I10" s="307">
        <v>5707.67</v>
      </c>
      <c r="J10" s="307">
        <v>6161.75</v>
      </c>
      <c r="K10" s="307">
        <v>6656.08</v>
      </c>
      <c r="L10" s="307">
        <v>7186.58</v>
      </c>
      <c r="M10" s="34" t="s">
        <v>173</v>
      </c>
      <c r="N10" s="34" t="s">
        <v>173</v>
      </c>
      <c r="O10" s="34" t="s">
        <v>173</v>
      </c>
      <c r="P10" s="34" t="s">
        <v>173</v>
      </c>
      <c r="Q10" s="34" t="s">
        <v>173</v>
      </c>
      <c r="R10" s="34" t="s">
        <v>173</v>
      </c>
      <c r="S10" s="34" t="s">
        <v>173</v>
      </c>
      <c r="T10" s="34" t="s">
        <v>173</v>
      </c>
      <c r="U10" s="34" t="s">
        <v>173</v>
      </c>
      <c r="V10" s="34" t="s">
        <v>173</v>
      </c>
      <c r="W10" s="34" t="s">
        <v>173</v>
      </c>
      <c r="X10" s="34" t="s">
        <v>173</v>
      </c>
      <c r="Y10" s="36">
        <v>2.3E-2</v>
      </c>
      <c r="Z10" s="36">
        <v>2.3E-2</v>
      </c>
      <c r="AA10" s="36" t="s">
        <v>173</v>
      </c>
      <c r="AB10" s="36">
        <v>4.4400000000000002E-2</v>
      </c>
      <c r="AC10" s="36">
        <v>4.4400000000000002E-2</v>
      </c>
      <c r="AD10" s="36" t="s">
        <v>173</v>
      </c>
    </row>
    <row r="11" spans="1:16384" x14ac:dyDescent="0.25">
      <c r="A11" t="s">
        <v>150</v>
      </c>
      <c r="B11" s="307" t="s">
        <v>173</v>
      </c>
      <c r="C11" s="307">
        <v>3667.58</v>
      </c>
      <c r="D11" s="307">
        <v>3952.92</v>
      </c>
      <c r="E11" s="307">
        <v>4383.67</v>
      </c>
      <c r="F11" s="307">
        <v>4734.83</v>
      </c>
      <c r="G11" s="307">
        <v>5049.92</v>
      </c>
      <c r="H11" s="307">
        <v>5284.33</v>
      </c>
      <c r="I11" s="307">
        <v>5707.67</v>
      </c>
      <c r="J11" s="307">
        <v>6161.75</v>
      </c>
      <c r="K11" s="307">
        <v>6656.08</v>
      </c>
      <c r="L11" s="307">
        <v>7186.58</v>
      </c>
      <c r="M11" s="34" t="s">
        <v>173</v>
      </c>
      <c r="N11" s="34" t="s">
        <v>173</v>
      </c>
      <c r="O11" s="34" t="s">
        <v>173</v>
      </c>
      <c r="P11" s="34" t="s">
        <v>173</v>
      </c>
      <c r="Q11" s="34" t="s">
        <v>173</v>
      </c>
      <c r="R11" s="34" t="s">
        <v>173</v>
      </c>
      <c r="S11" s="34" t="s">
        <v>173</v>
      </c>
      <c r="T11" s="34" t="s">
        <v>173</v>
      </c>
      <c r="U11" s="34" t="s">
        <v>173</v>
      </c>
      <c r="V11" s="34" t="s">
        <v>173</v>
      </c>
      <c r="W11" s="34" t="s">
        <v>173</v>
      </c>
      <c r="X11" s="34" t="s">
        <v>173</v>
      </c>
      <c r="Y11" s="36">
        <v>2.3E-2</v>
      </c>
      <c r="Z11" s="36">
        <v>2.3E-2</v>
      </c>
      <c r="AA11" s="36" t="s">
        <v>173</v>
      </c>
      <c r="AB11" s="36">
        <v>4.4400000000000002E-2</v>
      </c>
      <c r="AC11" s="36">
        <v>4.4400000000000002E-2</v>
      </c>
      <c r="AD11" s="36" t="s">
        <v>173</v>
      </c>
    </row>
    <row r="12" spans="1:16384" x14ac:dyDescent="0.25">
      <c r="A12" t="s">
        <v>438</v>
      </c>
      <c r="B12" s="307" t="s">
        <v>173</v>
      </c>
      <c r="C12" s="307">
        <v>6850</v>
      </c>
      <c r="D12" s="307">
        <v>7258.33</v>
      </c>
      <c r="E12" s="307">
        <v>7675</v>
      </c>
      <c r="F12" s="307">
        <v>8100</v>
      </c>
      <c r="G12" s="307">
        <v>8533.33</v>
      </c>
      <c r="H12" s="307" t="s">
        <v>173</v>
      </c>
      <c r="I12" s="307" t="s">
        <v>173</v>
      </c>
      <c r="J12" s="307" t="s">
        <v>173</v>
      </c>
      <c r="K12" s="307" t="s">
        <v>173</v>
      </c>
      <c r="L12" s="307" t="s">
        <v>173</v>
      </c>
      <c r="M12" s="307" t="s">
        <v>173</v>
      </c>
      <c r="N12" s="307" t="s">
        <v>173</v>
      </c>
      <c r="O12" s="307" t="s">
        <v>173</v>
      </c>
      <c r="P12" s="307" t="s">
        <v>173</v>
      </c>
      <c r="Q12" s="307" t="s">
        <v>173</v>
      </c>
      <c r="R12" s="307" t="s">
        <v>173</v>
      </c>
      <c r="S12" s="307" t="s">
        <v>173</v>
      </c>
      <c r="T12" s="307" t="s">
        <v>173</v>
      </c>
      <c r="U12" s="307" t="s">
        <v>173</v>
      </c>
      <c r="V12" s="307" t="s">
        <v>173</v>
      </c>
      <c r="W12" s="307" t="s">
        <v>173</v>
      </c>
      <c r="X12" s="307" t="s">
        <v>173</v>
      </c>
      <c r="Y12" s="36" t="s">
        <v>173</v>
      </c>
      <c r="Z12" s="36" t="s">
        <v>173</v>
      </c>
      <c r="AA12" s="36">
        <v>0.45500000000000002</v>
      </c>
      <c r="AB12" s="36" t="s">
        <v>173</v>
      </c>
      <c r="AC12" s="36" t="s">
        <v>173</v>
      </c>
      <c r="AD12" s="36">
        <v>0.47639999999999999</v>
      </c>
    </row>
    <row r="13" spans="1:16384" x14ac:dyDescent="0.25">
      <c r="A13" t="s">
        <v>439</v>
      </c>
      <c r="B13" s="307" t="s">
        <v>173</v>
      </c>
      <c r="C13" s="307">
        <v>8541.67</v>
      </c>
      <c r="D13" s="307">
        <v>8983.33</v>
      </c>
      <c r="E13" s="307">
        <v>9450</v>
      </c>
      <c r="F13" s="307">
        <v>10008.33</v>
      </c>
      <c r="G13" s="307" t="s">
        <v>173</v>
      </c>
      <c r="H13" s="307" t="s">
        <v>173</v>
      </c>
      <c r="I13" s="307" t="s">
        <v>173</v>
      </c>
      <c r="J13" s="307" t="s">
        <v>173</v>
      </c>
      <c r="K13" s="307" t="s">
        <v>173</v>
      </c>
      <c r="L13" s="307" t="s">
        <v>173</v>
      </c>
      <c r="M13" s="307" t="s">
        <v>173</v>
      </c>
      <c r="N13" s="307" t="s">
        <v>173</v>
      </c>
      <c r="O13" s="307" t="s">
        <v>173</v>
      </c>
      <c r="P13" s="307" t="s">
        <v>173</v>
      </c>
      <c r="Q13" s="307" t="s">
        <v>173</v>
      </c>
      <c r="R13" s="307" t="s">
        <v>173</v>
      </c>
      <c r="S13" s="307" t="s">
        <v>173</v>
      </c>
      <c r="T13" s="307" t="s">
        <v>173</v>
      </c>
      <c r="U13" s="307" t="s">
        <v>173</v>
      </c>
      <c r="V13" s="307" t="s">
        <v>173</v>
      </c>
      <c r="W13" s="307" t="s">
        <v>173</v>
      </c>
      <c r="X13" s="307" t="s">
        <v>173</v>
      </c>
      <c r="Y13" s="36" t="s">
        <v>173</v>
      </c>
      <c r="Z13" s="36" t="s">
        <v>173</v>
      </c>
      <c r="AA13" s="36">
        <v>0.45500000000000002</v>
      </c>
      <c r="AB13" s="36" t="s">
        <v>173</v>
      </c>
      <c r="AC13" s="36" t="s">
        <v>173</v>
      </c>
      <c r="AD13" s="36">
        <v>0.47639999999999999</v>
      </c>
    </row>
    <row r="14" spans="1:16384" x14ac:dyDescent="0.25">
      <c r="A14" t="s">
        <v>440</v>
      </c>
      <c r="B14" s="307" t="s">
        <v>173</v>
      </c>
      <c r="C14" s="307">
        <v>10016.67</v>
      </c>
      <c r="D14" s="307">
        <v>10783.33</v>
      </c>
      <c r="E14" s="307">
        <v>11616.67</v>
      </c>
      <c r="F14" s="307">
        <v>12491.67</v>
      </c>
      <c r="G14" s="307">
        <v>13425</v>
      </c>
      <c r="H14" s="307">
        <v>14433.33</v>
      </c>
      <c r="I14" s="307">
        <v>15541.67</v>
      </c>
      <c r="J14" s="307">
        <v>16800</v>
      </c>
      <c r="K14" s="307">
        <v>18208.330000000002</v>
      </c>
      <c r="L14" s="307" t="s">
        <v>173</v>
      </c>
      <c r="M14" s="307" t="s">
        <v>173</v>
      </c>
      <c r="N14" s="307" t="s">
        <v>173</v>
      </c>
      <c r="O14" s="307" t="s">
        <v>173</v>
      </c>
      <c r="P14" s="307" t="s">
        <v>173</v>
      </c>
      <c r="Q14" s="307" t="s">
        <v>173</v>
      </c>
      <c r="R14" s="307" t="s">
        <v>173</v>
      </c>
      <c r="S14" s="307" t="s">
        <v>173</v>
      </c>
      <c r="T14" s="307" t="s">
        <v>173</v>
      </c>
      <c r="U14" s="307" t="s">
        <v>173</v>
      </c>
      <c r="V14" s="307" t="s">
        <v>173</v>
      </c>
      <c r="W14" s="307" t="s">
        <v>173</v>
      </c>
      <c r="X14" s="307" t="s">
        <v>173</v>
      </c>
      <c r="Y14" s="36" t="s">
        <v>173</v>
      </c>
      <c r="Z14" s="36" t="s">
        <v>173</v>
      </c>
      <c r="AA14" s="36">
        <v>0.45500000000000002</v>
      </c>
      <c r="AB14" s="36" t="s">
        <v>173</v>
      </c>
      <c r="AC14" s="36" t="s">
        <v>173</v>
      </c>
      <c r="AD14" s="36">
        <v>0.47639999999999999</v>
      </c>
    </row>
    <row r="15" spans="1:16384" x14ac:dyDescent="0.25">
      <c r="A15" t="s">
        <v>442</v>
      </c>
      <c r="B15" s="307" t="s">
        <v>173</v>
      </c>
      <c r="C15" s="307">
        <v>9125</v>
      </c>
      <c r="D15" s="307">
        <v>9583.33</v>
      </c>
      <c r="E15" s="307">
        <v>10050</v>
      </c>
      <c r="F15" s="307">
        <v>10583.33</v>
      </c>
      <c r="G15" s="307">
        <v>11058.33</v>
      </c>
      <c r="H15" s="307" t="s">
        <v>173</v>
      </c>
      <c r="I15" s="307" t="s">
        <v>173</v>
      </c>
      <c r="J15" s="307" t="s">
        <v>173</v>
      </c>
      <c r="K15" s="307" t="s">
        <v>173</v>
      </c>
      <c r="L15" s="307" t="s">
        <v>173</v>
      </c>
      <c r="M15" s="307" t="s">
        <v>173</v>
      </c>
      <c r="N15" s="307" t="s">
        <v>173</v>
      </c>
      <c r="O15" s="307" t="s">
        <v>173</v>
      </c>
      <c r="P15" s="307" t="s">
        <v>173</v>
      </c>
      <c r="Q15" s="307" t="s">
        <v>173</v>
      </c>
      <c r="R15" s="307" t="s">
        <v>173</v>
      </c>
      <c r="S15" s="307" t="s">
        <v>173</v>
      </c>
      <c r="T15" s="307" t="s">
        <v>173</v>
      </c>
      <c r="U15" s="307" t="s">
        <v>173</v>
      </c>
      <c r="V15" s="307" t="s">
        <v>173</v>
      </c>
      <c r="W15" s="307" t="s">
        <v>173</v>
      </c>
      <c r="X15" s="307" t="s">
        <v>173</v>
      </c>
      <c r="Y15" s="36" t="s">
        <v>173</v>
      </c>
      <c r="Z15" s="36" t="s">
        <v>173</v>
      </c>
      <c r="AA15" s="36">
        <v>0.45500000000000002</v>
      </c>
      <c r="AB15" s="36" t="s">
        <v>173</v>
      </c>
      <c r="AC15" s="36" t="s">
        <v>173</v>
      </c>
      <c r="AD15" s="36">
        <v>0.47639999999999999</v>
      </c>
    </row>
    <row r="16" spans="1:16384" x14ac:dyDescent="0.25">
      <c r="A16" t="s">
        <v>444</v>
      </c>
      <c r="B16" s="307" t="s">
        <v>173</v>
      </c>
      <c r="C16" s="307">
        <v>11066.67</v>
      </c>
      <c r="D16" s="307">
        <v>11483.33</v>
      </c>
      <c r="E16" s="307">
        <v>11916.67</v>
      </c>
      <c r="F16" s="307">
        <v>12375</v>
      </c>
      <c r="G16" s="307" t="s">
        <v>173</v>
      </c>
      <c r="H16" s="307" t="s">
        <v>173</v>
      </c>
      <c r="I16" s="307" t="s">
        <v>173</v>
      </c>
      <c r="J16" s="307" t="s">
        <v>173</v>
      </c>
      <c r="K16" s="307" t="s">
        <v>173</v>
      </c>
      <c r="L16" s="307" t="s">
        <v>173</v>
      </c>
      <c r="M16" s="307" t="s">
        <v>173</v>
      </c>
      <c r="N16" s="307" t="s">
        <v>173</v>
      </c>
      <c r="O16" s="307" t="s">
        <v>173</v>
      </c>
      <c r="P16" s="307" t="s">
        <v>173</v>
      </c>
      <c r="Q16" s="307" t="s">
        <v>173</v>
      </c>
      <c r="R16" s="307" t="s">
        <v>173</v>
      </c>
      <c r="S16" s="307" t="s">
        <v>173</v>
      </c>
      <c r="T16" s="307" t="s">
        <v>173</v>
      </c>
      <c r="U16" s="307" t="s">
        <v>173</v>
      </c>
      <c r="V16" s="307" t="s">
        <v>173</v>
      </c>
      <c r="W16" s="307" t="s">
        <v>173</v>
      </c>
      <c r="X16" s="307" t="s">
        <v>173</v>
      </c>
      <c r="Y16" s="36" t="s">
        <v>173</v>
      </c>
      <c r="Z16" s="36" t="s">
        <v>173</v>
      </c>
      <c r="AA16" s="36">
        <v>0.45500000000000002</v>
      </c>
      <c r="AB16" s="36" t="s">
        <v>173</v>
      </c>
      <c r="AC16" s="36" t="s">
        <v>173</v>
      </c>
      <c r="AD16" s="36">
        <v>0.47639999999999999</v>
      </c>
    </row>
    <row r="17" spans="1:30" x14ac:dyDescent="0.25">
      <c r="A17" t="s">
        <v>443</v>
      </c>
      <c r="B17" s="307" t="s">
        <v>173</v>
      </c>
      <c r="C17" s="307">
        <v>12383.33</v>
      </c>
      <c r="D17" s="307">
        <v>12916.67</v>
      </c>
      <c r="E17" s="307">
        <v>13541.67</v>
      </c>
      <c r="F17" s="307">
        <v>14233.33</v>
      </c>
      <c r="G17" s="307">
        <v>15033.33</v>
      </c>
      <c r="H17" s="307">
        <v>16108.33</v>
      </c>
      <c r="I17" s="307">
        <v>17258.330000000002</v>
      </c>
      <c r="J17" s="307">
        <v>18475</v>
      </c>
      <c r="K17" s="307">
        <v>19941.669999999998</v>
      </c>
      <c r="L17" s="307" t="s">
        <v>173</v>
      </c>
      <c r="M17" s="307" t="s">
        <v>173</v>
      </c>
      <c r="N17" s="307" t="s">
        <v>173</v>
      </c>
      <c r="O17" s="307" t="s">
        <v>173</v>
      </c>
      <c r="P17" s="307" t="s">
        <v>173</v>
      </c>
      <c r="Q17" s="307" t="s">
        <v>173</v>
      </c>
      <c r="R17" s="307" t="s">
        <v>173</v>
      </c>
      <c r="S17" s="307" t="s">
        <v>173</v>
      </c>
      <c r="T17" s="307" t="s">
        <v>173</v>
      </c>
      <c r="U17" s="307" t="s">
        <v>173</v>
      </c>
      <c r="V17" s="307" t="s">
        <v>173</v>
      </c>
      <c r="W17" s="307" t="s">
        <v>173</v>
      </c>
      <c r="X17" s="307" t="s">
        <v>173</v>
      </c>
      <c r="Y17" s="36" t="s">
        <v>173</v>
      </c>
      <c r="Z17" s="36" t="s">
        <v>173</v>
      </c>
      <c r="AA17" s="36">
        <v>0.45500000000000002</v>
      </c>
      <c r="AB17" s="36" t="s">
        <v>173</v>
      </c>
      <c r="AC17" s="36" t="s">
        <v>173</v>
      </c>
      <c r="AD17" s="36">
        <v>0.47639999999999999</v>
      </c>
    </row>
    <row r="18" spans="1:30" x14ac:dyDescent="0.25">
      <c r="A18" t="s">
        <v>441</v>
      </c>
      <c r="B18" s="307" t="s">
        <v>173</v>
      </c>
      <c r="C18" s="307" t="s">
        <v>214</v>
      </c>
      <c r="D18" s="307" t="s">
        <v>214</v>
      </c>
      <c r="E18" s="307" t="s">
        <v>214</v>
      </c>
      <c r="F18" s="307" t="s">
        <v>214</v>
      </c>
      <c r="G18" s="307" t="s">
        <v>214</v>
      </c>
      <c r="H18" s="307" t="s">
        <v>214</v>
      </c>
      <c r="I18" s="307" t="s">
        <v>214</v>
      </c>
      <c r="J18" s="307" t="s">
        <v>214</v>
      </c>
      <c r="K18" s="307" t="s">
        <v>214</v>
      </c>
      <c r="L18" s="307" t="s">
        <v>214</v>
      </c>
      <c r="M18" s="34" t="s">
        <v>214</v>
      </c>
      <c r="N18" s="34" t="s">
        <v>214</v>
      </c>
      <c r="O18" s="34" t="s">
        <v>214</v>
      </c>
      <c r="P18" s="34" t="s">
        <v>214</v>
      </c>
      <c r="Q18" s="34" t="s">
        <v>214</v>
      </c>
      <c r="R18" s="34" t="s">
        <v>214</v>
      </c>
      <c r="S18" s="34" t="s">
        <v>214</v>
      </c>
      <c r="T18" s="34" t="s">
        <v>214</v>
      </c>
      <c r="U18" s="34" t="s">
        <v>214</v>
      </c>
      <c r="V18" s="34" t="s">
        <v>214</v>
      </c>
      <c r="W18" s="34" t="s">
        <v>214</v>
      </c>
      <c r="X18" s="34" t="s">
        <v>214</v>
      </c>
      <c r="Y18" s="36" t="s">
        <v>173</v>
      </c>
      <c r="Z18" s="36" t="s">
        <v>173</v>
      </c>
      <c r="AA18" s="36">
        <v>0.45500000000000002</v>
      </c>
      <c r="AB18" s="36" t="s">
        <v>173</v>
      </c>
      <c r="AC18" s="36" t="s">
        <v>173</v>
      </c>
      <c r="AD18" s="36">
        <v>0.47639999999999999</v>
      </c>
    </row>
    <row r="19" spans="1:30" x14ac:dyDescent="0.25">
      <c r="A19" t="s">
        <v>154</v>
      </c>
      <c r="B19" s="307">
        <v>4636</v>
      </c>
      <c r="C19" s="307">
        <v>4821</v>
      </c>
      <c r="D19" s="307">
        <v>4982</v>
      </c>
      <c r="E19" s="307">
        <v>5166</v>
      </c>
      <c r="F19" s="307">
        <v>5358</v>
      </c>
      <c r="G19" s="307">
        <v>5550</v>
      </c>
      <c r="H19" s="46" t="s">
        <v>173</v>
      </c>
      <c r="I19" s="307" t="s">
        <v>173</v>
      </c>
      <c r="J19" s="307" t="s">
        <v>173</v>
      </c>
      <c r="K19" s="307" t="s">
        <v>173</v>
      </c>
      <c r="L19" s="307" t="s">
        <v>173</v>
      </c>
      <c r="M19" s="34" t="s">
        <v>173</v>
      </c>
      <c r="N19" s="34" t="s">
        <v>173</v>
      </c>
      <c r="O19" s="34" t="s">
        <v>173</v>
      </c>
      <c r="P19" s="34" t="s">
        <v>173</v>
      </c>
      <c r="Q19" s="34" t="s">
        <v>173</v>
      </c>
      <c r="R19" s="34" t="s">
        <v>173</v>
      </c>
      <c r="S19" s="34" t="s">
        <v>173</v>
      </c>
      <c r="T19" s="34" t="s">
        <v>173</v>
      </c>
      <c r="U19" s="34" t="s">
        <v>173</v>
      </c>
      <c r="V19" s="34" t="s">
        <v>173</v>
      </c>
      <c r="W19" s="34" t="s">
        <v>173</v>
      </c>
      <c r="X19" s="34" t="s">
        <v>173</v>
      </c>
      <c r="Y19" s="36" t="s">
        <v>173</v>
      </c>
      <c r="Z19" s="36" t="s">
        <v>173</v>
      </c>
      <c r="AA19" s="314">
        <v>0.17</v>
      </c>
      <c r="AB19" s="36" t="s">
        <v>173</v>
      </c>
      <c r="AC19" s="36" t="s">
        <v>173</v>
      </c>
      <c r="AD19" s="314">
        <v>0.19139999999999999</v>
      </c>
    </row>
    <row r="20" spans="1:30" x14ac:dyDescent="0.25">
      <c r="A20" t="s">
        <v>155</v>
      </c>
      <c r="B20" s="307" t="s">
        <v>173</v>
      </c>
      <c r="C20" s="307">
        <v>9811.11</v>
      </c>
      <c r="D20" s="307">
        <v>10322.219999999999</v>
      </c>
      <c r="E20" s="307">
        <v>10855.56</v>
      </c>
      <c r="F20" s="307">
        <v>11488.89</v>
      </c>
      <c r="G20" s="307" t="s">
        <v>173</v>
      </c>
      <c r="H20" s="307" t="s">
        <v>173</v>
      </c>
      <c r="I20" s="307" t="s">
        <v>173</v>
      </c>
      <c r="J20" s="307" t="s">
        <v>173</v>
      </c>
      <c r="K20" s="307" t="s">
        <v>173</v>
      </c>
      <c r="L20" s="307" t="s">
        <v>173</v>
      </c>
      <c r="M20" s="34" t="s">
        <v>173</v>
      </c>
      <c r="N20" s="34" t="s">
        <v>173</v>
      </c>
      <c r="O20" s="34" t="s">
        <v>173</v>
      </c>
      <c r="P20" s="34" t="s">
        <v>173</v>
      </c>
      <c r="Q20" s="34" t="s">
        <v>173</v>
      </c>
      <c r="R20" s="34" t="s">
        <v>173</v>
      </c>
      <c r="S20" s="34" t="s">
        <v>173</v>
      </c>
      <c r="T20" s="34" t="s">
        <v>173</v>
      </c>
      <c r="U20" s="34" t="s">
        <v>173</v>
      </c>
      <c r="V20" s="34" t="s">
        <v>173</v>
      </c>
      <c r="W20" s="34" t="s">
        <v>173</v>
      </c>
      <c r="X20" s="34" t="s">
        <v>173</v>
      </c>
      <c r="Y20" s="36">
        <v>7.4999999999999997E-2</v>
      </c>
      <c r="Z20" s="36">
        <v>0.375</v>
      </c>
      <c r="AA20" s="36" t="s">
        <v>173</v>
      </c>
      <c r="AB20" s="36">
        <v>9.64E-2</v>
      </c>
      <c r="AC20" s="36">
        <v>0.39639999999999997</v>
      </c>
      <c r="AD20" s="36" t="s">
        <v>173</v>
      </c>
    </row>
    <row r="21" spans="1:30" x14ac:dyDescent="0.25">
      <c r="A21" t="s">
        <v>156</v>
      </c>
      <c r="B21" s="307" t="s">
        <v>173</v>
      </c>
      <c r="C21" s="307">
        <v>7877.78</v>
      </c>
      <c r="D21" s="307">
        <v>8344.44</v>
      </c>
      <c r="E21" s="307">
        <v>8822.2199999999993</v>
      </c>
      <c r="F21" s="307">
        <v>9311.11</v>
      </c>
      <c r="G21" s="307">
        <v>9800</v>
      </c>
      <c r="H21" s="307" t="s">
        <v>173</v>
      </c>
      <c r="I21" s="307" t="s">
        <v>173</v>
      </c>
      <c r="J21" s="307" t="s">
        <v>173</v>
      </c>
      <c r="K21" s="307" t="s">
        <v>173</v>
      </c>
      <c r="L21" s="307" t="s">
        <v>173</v>
      </c>
      <c r="M21" s="34" t="s">
        <v>173</v>
      </c>
      <c r="N21" s="34" t="s">
        <v>173</v>
      </c>
      <c r="O21" s="34" t="s">
        <v>173</v>
      </c>
      <c r="P21" s="34" t="s">
        <v>173</v>
      </c>
      <c r="Q21" s="34" t="s">
        <v>173</v>
      </c>
      <c r="R21" s="34" t="s">
        <v>173</v>
      </c>
      <c r="S21" s="34" t="s">
        <v>173</v>
      </c>
      <c r="T21" s="34" t="s">
        <v>173</v>
      </c>
      <c r="U21" s="34" t="s">
        <v>173</v>
      </c>
      <c r="V21" s="34" t="s">
        <v>173</v>
      </c>
      <c r="W21" s="34" t="s">
        <v>173</v>
      </c>
      <c r="X21" s="34" t="s">
        <v>173</v>
      </c>
      <c r="Y21" s="36">
        <v>7.4999999999999997E-2</v>
      </c>
      <c r="Z21" s="36">
        <v>0.375</v>
      </c>
      <c r="AA21" s="36" t="s">
        <v>173</v>
      </c>
      <c r="AB21" s="36">
        <v>9.64E-2</v>
      </c>
      <c r="AC21" s="36">
        <v>0.39639999999999997</v>
      </c>
      <c r="AD21" s="36" t="s">
        <v>173</v>
      </c>
    </row>
    <row r="22" spans="1:30" x14ac:dyDescent="0.25">
      <c r="A22" t="s">
        <v>157</v>
      </c>
      <c r="B22" s="307" t="s">
        <v>173</v>
      </c>
      <c r="C22" s="307">
        <v>11500</v>
      </c>
      <c r="D22" s="307">
        <v>12388.89</v>
      </c>
      <c r="E22" s="307">
        <v>13355.56</v>
      </c>
      <c r="F22" s="307">
        <v>14355.56</v>
      </c>
      <c r="G22" s="307">
        <v>15433.33</v>
      </c>
      <c r="H22" s="307">
        <v>16588.89</v>
      </c>
      <c r="I22" s="307">
        <v>17866.669999999998</v>
      </c>
      <c r="J22" s="307">
        <v>19311.11</v>
      </c>
      <c r="K22" s="307">
        <v>20933.330000000002</v>
      </c>
      <c r="L22" s="307" t="s">
        <v>173</v>
      </c>
      <c r="M22" s="34" t="s">
        <v>173</v>
      </c>
      <c r="N22" s="34" t="s">
        <v>173</v>
      </c>
      <c r="O22" s="34" t="s">
        <v>173</v>
      </c>
      <c r="P22" s="34" t="s">
        <v>173</v>
      </c>
      <c r="Q22" s="34" t="s">
        <v>173</v>
      </c>
      <c r="R22" s="34" t="s">
        <v>173</v>
      </c>
      <c r="S22" s="34" t="s">
        <v>173</v>
      </c>
      <c r="T22" s="34" t="s">
        <v>173</v>
      </c>
      <c r="U22" s="34" t="s">
        <v>173</v>
      </c>
      <c r="V22" s="34" t="s">
        <v>173</v>
      </c>
      <c r="W22" s="34" t="s">
        <v>173</v>
      </c>
      <c r="X22" s="34" t="s">
        <v>173</v>
      </c>
      <c r="Y22" s="36">
        <v>7.4999999999999997E-2</v>
      </c>
      <c r="Z22" s="36">
        <v>0.375</v>
      </c>
      <c r="AA22" s="36" t="s">
        <v>173</v>
      </c>
      <c r="AB22" s="36">
        <v>9.64E-2</v>
      </c>
      <c r="AC22" s="36">
        <v>0.39639999999999997</v>
      </c>
      <c r="AD22" s="36" t="s">
        <v>173</v>
      </c>
    </row>
    <row r="23" spans="1:30" x14ac:dyDescent="0.25">
      <c r="A23" t="s">
        <v>158</v>
      </c>
      <c r="B23" s="307" t="s">
        <v>173</v>
      </c>
      <c r="C23" s="307">
        <v>6933.33</v>
      </c>
      <c r="D23" s="307">
        <v>7258.33</v>
      </c>
      <c r="E23" s="307">
        <v>7616.67</v>
      </c>
      <c r="F23" s="307">
        <v>7991.67</v>
      </c>
      <c r="G23" s="307" t="s">
        <v>173</v>
      </c>
      <c r="H23" s="307" t="s">
        <v>173</v>
      </c>
      <c r="I23" s="307" t="s">
        <v>173</v>
      </c>
      <c r="J23" s="307" t="s">
        <v>173</v>
      </c>
      <c r="K23" s="307" t="s">
        <v>173</v>
      </c>
      <c r="L23" s="307" t="s">
        <v>173</v>
      </c>
      <c r="M23" s="34" t="s">
        <v>173</v>
      </c>
      <c r="N23" s="34" t="s">
        <v>173</v>
      </c>
      <c r="O23" s="34" t="s">
        <v>173</v>
      </c>
      <c r="P23" s="34" t="s">
        <v>173</v>
      </c>
      <c r="Q23" s="34" t="s">
        <v>173</v>
      </c>
      <c r="R23" s="34" t="s">
        <v>173</v>
      </c>
      <c r="S23" s="34" t="s">
        <v>173</v>
      </c>
      <c r="T23" s="34" t="s">
        <v>173</v>
      </c>
      <c r="U23" s="34" t="s">
        <v>173</v>
      </c>
      <c r="V23" s="34" t="s">
        <v>173</v>
      </c>
      <c r="W23" s="34" t="s">
        <v>173</v>
      </c>
      <c r="X23" s="34" t="s">
        <v>173</v>
      </c>
      <c r="Y23" s="36" t="s">
        <v>173</v>
      </c>
      <c r="Z23" s="36" t="s">
        <v>173</v>
      </c>
      <c r="AA23" s="36">
        <v>0.45500000000000002</v>
      </c>
      <c r="AB23" s="36" t="s">
        <v>173</v>
      </c>
      <c r="AC23" s="36" t="s">
        <v>173</v>
      </c>
      <c r="AD23" s="36">
        <v>0.47639999999999999</v>
      </c>
    </row>
    <row r="24" spans="1:30" x14ac:dyDescent="0.25">
      <c r="A24" t="s">
        <v>159</v>
      </c>
      <c r="B24" s="307" t="s">
        <v>173</v>
      </c>
      <c r="C24" s="307">
        <v>5700</v>
      </c>
      <c r="D24" s="307">
        <v>6000</v>
      </c>
      <c r="E24" s="307">
        <v>6316.67</v>
      </c>
      <c r="F24" s="307">
        <v>6608.33</v>
      </c>
      <c r="G24" s="307">
        <v>6925</v>
      </c>
      <c r="H24" s="307" t="s">
        <v>173</v>
      </c>
      <c r="I24" s="307" t="s">
        <v>173</v>
      </c>
      <c r="J24" s="307" t="s">
        <v>173</v>
      </c>
      <c r="K24" s="307" t="s">
        <v>173</v>
      </c>
      <c r="L24" s="307" t="s">
        <v>173</v>
      </c>
      <c r="M24" s="34" t="s">
        <v>173</v>
      </c>
      <c r="N24" s="34" t="s">
        <v>173</v>
      </c>
      <c r="O24" s="34" t="s">
        <v>173</v>
      </c>
      <c r="P24" s="34" t="s">
        <v>173</v>
      </c>
      <c r="Q24" s="34" t="s">
        <v>173</v>
      </c>
      <c r="R24" s="34" t="s">
        <v>173</v>
      </c>
      <c r="S24" s="34" t="s">
        <v>173</v>
      </c>
      <c r="T24" s="34" t="s">
        <v>173</v>
      </c>
      <c r="U24" s="34" t="s">
        <v>173</v>
      </c>
      <c r="V24" s="34" t="s">
        <v>173</v>
      </c>
      <c r="W24" s="34" t="s">
        <v>173</v>
      </c>
      <c r="X24" s="34" t="s">
        <v>173</v>
      </c>
      <c r="Y24" s="36" t="s">
        <v>173</v>
      </c>
      <c r="Z24" s="36" t="s">
        <v>173</v>
      </c>
      <c r="AA24" s="36">
        <v>0.45500000000000002</v>
      </c>
      <c r="AB24" s="36" t="s">
        <v>173</v>
      </c>
      <c r="AC24" s="36" t="s">
        <v>173</v>
      </c>
      <c r="AD24" s="36">
        <v>0.47639999999999999</v>
      </c>
    </row>
    <row r="25" spans="1:30" x14ac:dyDescent="0.25">
      <c r="A25" t="s">
        <v>160</v>
      </c>
      <c r="B25" s="307" t="s">
        <v>173</v>
      </c>
      <c r="C25" s="307">
        <v>8000</v>
      </c>
      <c r="D25" s="307">
        <v>8583.33</v>
      </c>
      <c r="E25" s="307">
        <v>9266.67</v>
      </c>
      <c r="F25" s="307">
        <v>10008.33</v>
      </c>
      <c r="G25" s="307">
        <v>10833.33</v>
      </c>
      <c r="H25" s="307">
        <v>11766.67</v>
      </c>
      <c r="I25" s="307">
        <v>12783.33</v>
      </c>
      <c r="J25" s="307">
        <v>13825</v>
      </c>
      <c r="K25" s="307">
        <v>15016.67</v>
      </c>
      <c r="L25" s="307" t="s">
        <v>173</v>
      </c>
      <c r="M25" s="34" t="s">
        <v>173</v>
      </c>
      <c r="N25" s="34" t="s">
        <v>173</v>
      </c>
      <c r="O25" s="34" t="s">
        <v>173</v>
      </c>
      <c r="P25" s="34" t="s">
        <v>173</v>
      </c>
      <c r="Q25" s="34" t="s">
        <v>173</v>
      </c>
      <c r="R25" s="34" t="s">
        <v>173</v>
      </c>
      <c r="S25" s="34" t="s">
        <v>173</v>
      </c>
      <c r="T25" s="34" t="s">
        <v>173</v>
      </c>
      <c r="U25" s="34" t="s">
        <v>173</v>
      </c>
      <c r="V25" s="34" t="s">
        <v>173</v>
      </c>
      <c r="W25" s="34" t="s">
        <v>173</v>
      </c>
      <c r="X25" s="34" t="s">
        <v>173</v>
      </c>
      <c r="Y25" s="36" t="s">
        <v>173</v>
      </c>
      <c r="Z25" s="36" t="s">
        <v>173</v>
      </c>
      <c r="AA25" s="36">
        <v>0.45500000000000002</v>
      </c>
      <c r="AB25" s="36" t="s">
        <v>173</v>
      </c>
      <c r="AC25" s="36" t="s">
        <v>173</v>
      </c>
      <c r="AD25" s="36">
        <v>0.47639999999999999</v>
      </c>
    </row>
    <row r="26" spans="1:30" x14ac:dyDescent="0.25">
      <c r="A26" t="s">
        <v>161</v>
      </c>
      <c r="B26" s="307" t="s">
        <v>173</v>
      </c>
      <c r="C26" s="307">
        <v>8641.67</v>
      </c>
      <c r="D26" s="307">
        <v>9083.33</v>
      </c>
      <c r="E26" s="307">
        <v>9566.67</v>
      </c>
      <c r="F26" s="307">
        <v>10133.33</v>
      </c>
      <c r="G26" s="307" t="s">
        <v>173</v>
      </c>
      <c r="H26" s="307" t="s">
        <v>173</v>
      </c>
      <c r="I26" s="307" t="s">
        <v>173</v>
      </c>
      <c r="J26" s="307" t="s">
        <v>173</v>
      </c>
      <c r="K26" s="307" t="s">
        <v>173</v>
      </c>
      <c r="L26" s="307" t="s">
        <v>173</v>
      </c>
      <c r="M26" s="34" t="s">
        <v>173</v>
      </c>
      <c r="N26" s="34" t="s">
        <v>173</v>
      </c>
      <c r="O26" s="34" t="s">
        <v>173</v>
      </c>
      <c r="P26" s="34" t="s">
        <v>173</v>
      </c>
      <c r="Q26" s="34" t="s">
        <v>173</v>
      </c>
      <c r="R26" s="34" t="s">
        <v>173</v>
      </c>
      <c r="S26" s="34" t="s">
        <v>173</v>
      </c>
      <c r="T26" s="34" t="s">
        <v>173</v>
      </c>
      <c r="U26" s="34" t="s">
        <v>173</v>
      </c>
      <c r="V26" s="34" t="s">
        <v>173</v>
      </c>
      <c r="W26" s="34" t="s">
        <v>173</v>
      </c>
      <c r="X26" s="34" t="s">
        <v>173</v>
      </c>
      <c r="Y26" s="36" t="s">
        <v>173</v>
      </c>
      <c r="Z26" s="36" t="s">
        <v>173</v>
      </c>
      <c r="AA26" s="36">
        <v>0.45500000000000002</v>
      </c>
      <c r="AB26" s="36" t="s">
        <v>173</v>
      </c>
      <c r="AC26" s="36" t="s">
        <v>173</v>
      </c>
      <c r="AD26" s="36">
        <v>0.47639999999999999</v>
      </c>
    </row>
    <row r="27" spans="1:30" x14ac:dyDescent="0.25">
      <c r="A27" t="s">
        <v>162</v>
      </c>
      <c r="B27" s="307" t="s">
        <v>173</v>
      </c>
      <c r="C27" s="307">
        <v>6941.67</v>
      </c>
      <c r="D27" s="307">
        <v>7366.67</v>
      </c>
      <c r="E27" s="307">
        <v>7766.67</v>
      </c>
      <c r="F27" s="307">
        <v>8200</v>
      </c>
      <c r="G27" s="307">
        <v>8633.33</v>
      </c>
      <c r="H27" s="307" t="s">
        <v>173</v>
      </c>
      <c r="I27" s="307" t="s">
        <v>173</v>
      </c>
      <c r="J27" s="307" t="s">
        <v>173</v>
      </c>
      <c r="K27" s="307" t="s">
        <v>173</v>
      </c>
      <c r="L27" s="307" t="s">
        <v>173</v>
      </c>
      <c r="M27" s="34" t="s">
        <v>173</v>
      </c>
      <c r="N27" s="34" t="s">
        <v>173</v>
      </c>
      <c r="O27" s="34" t="s">
        <v>173</v>
      </c>
      <c r="P27" s="34" t="s">
        <v>173</v>
      </c>
      <c r="Q27" s="34" t="s">
        <v>173</v>
      </c>
      <c r="R27" s="34" t="s">
        <v>173</v>
      </c>
      <c r="S27" s="34" t="s">
        <v>173</v>
      </c>
      <c r="T27" s="34" t="s">
        <v>173</v>
      </c>
      <c r="U27" s="34" t="s">
        <v>173</v>
      </c>
      <c r="V27" s="34" t="s">
        <v>173</v>
      </c>
      <c r="W27" s="34" t="s">
        <v>173</v>
      </c>
      <c r="X27" s="34" t="s">
        <v>173</v>
      </c>
      <c r="Y27" s="36" t="s">
        <v>173</v>
      </c>
      <c r="Z27" s="36" t="s">
        <v>173</v>
      </c>
      <c r="AA27" s="36">
        <v>0.45500000000000002</v>
      </c>
      <c r="AB27" s="36" t="s">
        <v>173</v>
      </c>
      <c r="AC27" s="36" t="s">
        <v>173</v>
      </c>
      <c r="AD27" s="36">
        <v>0.47639999999999999</v>
      </c>
    </row>
    <row r="28" spans="1:30" x14ac:dyDescent="0.25">
      <c r="A28" t="s">
        <v>163</v>
      </c>
      <c r="B28" s="307" t="s">
        <v>173</v>
      </c>
      <c r="C28" s="307">
        <v>11200</v>
      </c>
      <c r="D28" s="307">
        <v>11616.67</v>
      </c>
      <c r="E28" s="307">
        <v>12075</v>
      </c>
      <c r="F28" s="307">
        <v>12508.33</v>
      </c>
      <c r="G28" s="307" t="s">
        <v>173</v>
      </c>
      <c r="H28" s="307" t="s">
        <v>173</v>
      </c>
      <c r="I28" s="307" t="s">
        <v>173</v>
      </c>
      <c r="J28" s="307" t="s">
        <v>173</v>
      </c>
      <c r="K28" s="307" t="s">
        <v>173</v>
      </c>
      <c r="L28" s="307" t="s">
        <v>173</v>
      </c>
      <c r="M28" s="34" t="s">
        <v>173</v>
      </c>
      <c r="N28" s="34" t="s">
        <v>173</v>
      </c>
      <c r="O28" s="34" t="s">
        <v>173</v>
      </c>
      <c r="P28" s="34" t="s">
        <v>173</v>
      </c>
      <c r="Q28" s="34" t="s">
        <v>173</v>
      </c>
      <c r="R28" s="34" t="s">
        <v>173</v>
      </c>
      <c r="S28" s="34" t="s">
        <v>173</v>
      </c>
      <c r="T28" s="34" t="s">
        <v>173</v>
      </c>
      <c r="U28" s="34" t="s">
        <v>173</v>
      </c>
      <c r="V28" s="34" t="s">
        <v>173</v>
      </c>
      <c r="W28" s="34" t="s">
        <v>173</v>
      </c>
      <c r="X28" s="34" t="s">
        <v>173</v>
      </c>
      <c r="Y28" s="36" t="s">
        <v>173</v>
      </c>
      <c r="Z28" s="36" t="s">
        <v>173</v>
      </c>
      <c r="AA28" s="36">
        <v>0.45500000000000002</v>
      </c>
      <c r="AB28" s="36" t="s">
        <v>173</v>
      </c>
      <c r="AC28" s="36" t="s">
        <v>173</v>
      </c>
      <c r="AD28" s="36">
        <v>0.47639999999999999</v>
      </c>
    </row>
    <row r="29" spans="1:30" x14ac:dyDescent="0.25">
      <c r="A29" t="s">
        <v>164</v>
      </c>
      <c r="B29" s="307" t="s">
        <v>173</v>
      </c>
      <c r="C29" s="307">
        <v>9241.67</v>
      </c>
      <c r="D29" s="307">
        <v>9700</v>
      </c>
      <c r="E29" s="307">
        <v>10191.67</v>
      </c>
      <c r="F29" s="307">
        <v>10733.33</v>
      </c>
      <c r="G29" s="307">
        <v>11191.67</v>
      </c>
      <c r="H29" s="307" t="s">
        <v>173</v>
      </c>
      <c r="I29" s="307" t="s">
        <v>173</v>
      </c>
      <c r="J29" s="307" t="s">
        <v>173</v>
      </c>
      <c r="K29" s="307" t="s">
        <v>173</v>
      </c>
      <c r="L29" s="307" t="s">
        <v>173</v>
      </c>
      <c r="M29" s="34" t="s">
        <v>173</v>
      </c>
      <c r="N29" s="34" t="s">
        <v>173</v>
      </c>
      <c r="O29" s="34" t="s">
        <v>173</v>
      </c>
      <c r="P29" s="34" t="s">
        <v>173</v>
      </c>
      <c r="Q29" s="34" t="s">
        <v>173</v>
      </c>
      <c r="R29" s="34" t="s">
        <v>173</v>
      </c>
      <c r="S29" s="34" t="s">
        <v>173</v>
      </c>
      <c r="T29" s="34" t="s">
        <v>173</v>
      </c>
      <c r="U29" s="34" t="s">
        <v>173</v>
      </c>
      <c r="V29" s="34" t="s">
        <v>173</v>
      </c>
      <c r="W29" s="34" t="s">
        <v>173</v>
      </c>
      <c r="X29" s="34" t="s">
        <v>173</v>
      </c>
      <c r="Y29" s="36" t="s">
        <v>173</v>
      </c>
      <c r="Z29" s="36" t="s">
        <v>173</v>
      </c>
      <c r="AA29" s="36">
        <v>0.45500000000000002</v>
      </c>
      <c r="AB29" s="36" t="s">
        <v>173</v>
      </c>
      <c r="AC29" s="36" t="s">
        <v>173</v>
      </c>
      <c r="AD29" s="36">
        <v>0.47639999999999999</v>
      </c>
    </row>
    <row r="30" spans="1:30" x14ac:dyDescent="0.25">
      <c r="A30" t="s">
        <v>165</v>
      </c>
      <c r="B30" s="307" t="s">
        <v>173</v>
      </c>
      <c r="C30" s="307">
        <v>12516.67</v>
      </c>
      <c r="D30" s="307">
        <v>12966.67</v>
      </c>
      <c r="E30" s="307">
        <v>13633.33</v>
      </c>
      <c r="F30" s="307">
        <v>14408.33</v>
      </c>
      <c r="G30" s="307">
        <v>15225</v>
      </c>
      <c r="H30" s="307">
        <v>16333.33</v>
      </c>
      <c r="I30" s="307">
        <v>18508.330000000002</v>
      </c>
      <c r="J30" s="307">
        <v>18733.330000000002</v>
      </c>
      <c r="K30" s="307">
        <v>20241.669999999998</v>
      </c>
      <c r="L30" s="307" t="s">
        <v>173</v>
      </c>
      <c r="M30" s="34" t="s">
        <v>173</v>
      </c>
      <c r="N30" s="34" t="s">
        <v>173</v>
      </c>
      <c r="O30" s="34" t="s">
        <v>173</v>
      </c>
      <c r="P30" s="34" t="s">
        <v>173</v>
      </c>
      <c r="Q30" s="34" t="s">
        <v>173</v>
      </c>
      <c r="R30" s="34" t="s">
        <v>173</v>
      </c>
      <c r="S30" s="34" t="s">
        <v>173</v>
      </c>
      <c r="T30" s="34" t="s">
        <v>173</v>
      </c>
      <c r="U30" s="34" t="s">
        <v>173</v>
      </c>
      <c r="V30" s="34" t="s">
        <v>173</v>
      </c>
      <c r="W30" s="34" t="s">
        <v>173</v>
      </c>
      <c r="X30" s="34" t="s">
        <v>173</v>
      </c>
      <c r="Y30" s="36" t="s">
        <v>173</v>
      </c>
      <c r="Z30" s="36" t="s">
        <v>173</v>
      </c>
      <c r="AA30" s="36">
        <v>0.45500000000000002</v>
      </c>
      <c r="AB30" s="36" t="s">
        <v>173</v>
      </c>
      <c r="AC30" s="36" t="s">
        <v>173</v>
      </c>
      <c r="AD30" s="36">
        <v>0.47639999999999999</v>
      </c>
    </row>
    <row r="31" spans="1:30" x14ac:dyDescent="0.25">
      <c r="A31" t="s">
        <v>166</v>
      </c>
      <c r="B31" s="307" t="s">
        <v>173</v>
      </c>
      <c r="C31" s="307">
        <v>10141.67</v>
      </c>
      <c r="D31" s="307">
        <v>10925</v>
      </c>
      <c r="E31" s="307">
        <v>11750</v>
      </c>
      <c r="F31" s="307">
        <v>12616.67</v>
      </c>
      <c r="G31" s="307">
        <v>13541.67</v>
      </c>
      <c r="H31" s="307">
        <v>14608.33</v>
      </c>
      <c r="I31" s="307">
        <v>15758.33</v>
      </c>
      <c r="J31" s="307">
        <v>17050</v>
      </c>
      <c r="K31" s="307">
        <v>18483.330000000002</v>
      </c>
      <c r="L31" s="307" t="s">
        <v>173</v>
      </c>
      <c r="M31" s="34" t="s">
        <v>173</v>
      </c>
      <c r="N31" s="34" t="s">
        <v>173</v>
      </c>
      <c r="O31" s="34" t="s">
        <v>173</v>
      </c>
      <c r="P31" s="34" t="s">
        <v>173</v>
      </c>
      <c r="Q31" s="34" t="s">
        <v>173</v>
      </c>
      <c r="R31" s="34" t="s">
        <v>173</v>
      </c>
      <c r="S31" s="34" t="s">
        <v>173</v>
      </c>
      <c r="T31" s="34" t="s">
        <v>173</v>
      </c>
      <c r="U31" s="34" t="s">
        <v>173</v>
      </c>
      <c r="V31" s="34" t="s">
        <v>173</v>
      </c>
      <c r="W31" s="34" t="s">
        <v>173</v>
      </c>
      <c r="X31" s="34" t="s">
        <v>173</v>
      </c>
      <c r="Y31" s="36" t="s">
        <v>173</v>
      </c>
      <c r="Z31" s="36" t="s">
        <v>173</v>
      </c>
      <c r="AA31" s="314">
        <v>0.45500000000000002</v>
      </c>
      <c r="AB31" s="36" t="s">
        <v>173</v>
      </c>
      <c r="AC31" s="36" t="s">
        <v>173</v>
      </c>
      <c r="AD31" s="314">
        <v>0.47639999999999999</v>
      </c>
    </row>
    <row r="32" spans="1:30" x14ac:dyDescent="0.25">
      <c r="A32" t="s">
        <v>167</v>
      </c>
      <c r="B32" s="307" t="s">
        <v>173</v>
      </c>
      <c r="C32" s="307">
        <v>5616.67</v>
      </c>
      <c r="D32" s="307">
        <v>5891.67</v>
      </c>
      <c r="E32" s="307">
        <v>6203.33</v>
      </c>
      <c r="F32" s="307">
        <v>6541.67</v>
      </c>
      <c r="G32" s="307" t="s">
        <v>173</v>
      </c>
      <c r="H32" s="307" t="s">
        <v>173</v>
      </c>
      <c r="I32" s="307" t="s">
        <v>173</v>
      </c>
      <c r="J32" s="307" t="s">
        <v>173</v>
      </c>
      <c r="K32" s="307" t="s">
        <v>173</v>
      </c>
      <c r="L32" s="307" t="s">
        <v>173</v>
      </c>
      <c r="M32" s="34" t="s">
        <v>173</v>
      </c>
      <c r="N32" s="34" t="s">
        <v>173</v>
      </c>
      <c r="O32" s="34" t="s">
        <v>173</v>
      </c>
      <c r="P32" s="34" t="s">
        <v>173</v>
      </c>
      <c r="Q32" s="34" t="s">
        <v>173</v>
      </c>
      <c r="R32" s="34" t="s">
        <v>173</v>
      </c>
      <c r="S32" s="34" t="s">
        <v>173</v>
      </c>
      <c r="T32" s="34" t="s">
        <v>173</v>
      </c>
      <c r="U32" s="34" t="s">
        <v>173</v>
      </c>
      <c r="V32" s="34" t="s">
        <v>173</v>
      </c>
      <c r="W32" s="34" t="s">
        <v>173</v>
      </c>
      <c r="X32" s="34" t="s">
        <v>173</v>
      </c>
      <c r="Y32" s="36" t="s">
        <v>173</v>
      </c>
      <c r="Z32" s="36" t="s">
        <v>173</v>
      </c>
      <c r="AA32" s="36">
        <v>0.45500000000000002</v>
      </c>
      <c r="AB32" s="36" t="s">
        <v>173</v>
      </c>
      <c r="AC32" s="36" t="s">
        <v>173</v>
      </c>
      <c r="AD32" s="36">
        <v>0.47639999999999999</v>
      </c>
    </row>
    <row r="33" spans="1:30" x14ac:dyDescent="0.25">
      <c r="A33" t="s">
        <v>168</v>
      </c>
      <c r="B33" s="307" t="s">
        <v>173</v>
      </c>
      <c r="C33" s="307">
        <v>4716.67</v>
      </c>
      <c r="D33" s="307">
        <v>4983.33</v>
      </c>
      <c r="E33" s="307">
        <v>5250</v>
      </c>
      <c r="F33" s="307" t="s">
        <v>173</v>
      </c>
      <c r="G33" s="307" t="s">
        <v>173</v>
      </c>
      <c r="H33" s="307" t="s">
        <v>173</v>
      </c>
      <c r="I33" s="307" t="s">
        <v>173</v>
      </c>
      <c r="J33" s="307" t="s">
        <v>173</v>
      </c>
      <c r="K33" s="307" t="s">
        <v>173</v>
      </c>
      <c r="L33" s="307" t="s">
        <v>173</v>
      </c>
      <c r="M33" s="34" t="s">
        <v>173</v>
      </c>
      <c r="N33" s="34" t="s">
        <v>173</v>
      </c>
      <c r="O33" s="34" t="s">
        <v>173</v>
      </c>
      <c r="P33" s="34" t="s">
        <v>173</v>
      </c>
      <c r="Q33" s="34" t="s">
        <v>173</v>
      </c>
      <c r="R33" s="34" t="s">
        <v>173</v>
      </c>
      <c r="S33" s="34" t="s">
        <v>173</v>
      </c>
      <c r="T33" s="34" t="s">
        <v>173</v>
      </c>
      <c r="U33" s="34" t="s">
        <v>173</v>
      </c>
      <c r="V33" s="34" t="s">
        <v>173</v>
      </c>
      <c r="W33" s="34" t="s">
        <v>173</v>
      </c>
      <c r="X33" s="34" t="s">
        <v>173</v>
      </c>
      <c r="Y33" s="36" t="s">
        <v>173</v>
      </c>
      <c r="Z33" s="36" t="s">
        <v>173</v>
      </c>
      <c r="AA33" s="36">
        <v>0.45500000000000002</v>
      </c>
      <c r="AB33" s="36" t="s">
        <v>173</v>
      </c>
      <c r="AC33" s="36" t="s">
        <v>173</v>
      </c>
      <c r="AD33" s="36">
        <v>0.47639999999999999</v>
      </c>
    </row>
    <row r="34" spans="1:30" x14ac:dyDescent="0.25">
      <c r="A34" t="s">
        <v>169</v>
      </c>
      <c r="B34" s="307" t="s">
        <v>173</v>
      </c>
      <c r="C34" s="307">
        <v>6925</v>
      </c>
      <c r="D34" s="307">
        <v>7608.33</v>
      </c>
      <c r="E34" s="307">
        <v>8491.67</v>
      </c>
      <c r="F34" s="307">
        <v>9550</v>
      </c>
      <c r="G34" s="307">
        <v>10575</v>
      </c>
      <c r="H34" s="307">
        <v>11466.67</v>
      </c>
      <c r="I34" s="307">
        <v>12291.67</v>
      </c>
      <c r="J34" s="307">
        <v>13158.33</v>
      </c>
      <c r="K34" s="307">
        <v>14491.67</v>
      </c>
      <c r="L34" s="307" t="s">
        <v>173</v>
      </c>
      <c r="M34" s="34" t="s">
        <v>173</v>
      </c>
      <c r="N34" s="34" t="s">
        <v>173</v>
      </c>
      <c r="O34" s="34" t="s">
        <v>173</v>
      </c>
      <c r="P34" s="34" t="s">
        <v>173</v>
      </c>
      <c r="Q34" s="34" t="s">
        <v>173</v>
      </c>
      <c r="R34" s="34" t="s">
        <v>173</v>
      </c>
      <c r="S34" s="34" t="s">
        <v>173</v>
      </c>
      <c r="T34" s="34" t="s">
        <v>173</v>
      </c>
      <c r="U34" s="34" t="s">
        <v>173</v>
      </c>
      <c r="V34" s="34" t="s">
        <v>173</v>
      </c>
      <c r="W34" s="34" t="s">
        <v>173</v>
      </c>
      <c r="X34" s="34" t="s">
        <v>173</v>
      </c>
      <c r="Y34" s="36" t="s">
        <v>173</v>
      </c>
      <c r="Z34" s="36" t="s">
        <v>173</v>
      </c>
      <c r="AA34" s="36">
        <v>0.45500000000000002</v>
      </c>
      <c r="AB34" s="36" t="s">
        <v>173</v>
      </c>
      <c r="AC34" s="36" t="s">
        <v>173</v>
      </c>
      <c r="AD34" s="36">
        <v>0.47639999999999999</v>
      </c>
    </row>
    <row r="35" spans="1:30" x14ac:dyDescent="0.25">
      <c r="A35" t="s">
        <v>170</v>
      </c>
      <c r="B35" s="307" t="s">
        <v>173</v>
      </c>
      <c r="C35" s="307">
        <v>23.47</v>
      </c>
      <c r="D35" s="307">
        <v>25</v>
      </c>
      <c r="E35" s="307" t="s">
        <v>173</v>
      </c>
      <c r="F35" s="307" t="s">
        <v>173</v>
      </c>
      <c r="G35" s="307" t="s">
        <v>173</v>
      </c>
      <c r="H35" s="307" t="s">
        <v>173</v>
      </c>
      <c r="I35" s="307" t="s">
        <v>173</v>
      </c>
      <c r="J35" s="307" t="s">
        <v>173</v>
      </c>
      <c r="K35" s="307" t="s">
        <v>173</v>
      </c>
      <c r="L35" s="307" t="s">
        <v>173</v>
      </c>
      <c r="M35" s="34" t="s">
        <v>173</v>
      </c>
      <c r="N35" s="34" t="s">
        <v>173</v>
      </c>
      <c r="O35" s="34" t="s">
        <v>173</v>
      </c>
      <c r="P35" s="34" t="s">
        <v>173</v>
      </c>
      <c r="Q35" s="34" t="s">
        <v>173</v>
      </c>
      <c r="R35" s="34" t="s">
        <v>173</v>
      </c>
      <c r="S35" s="34" t="s">
        <v>173</v>
      </c>
      <c r="T35" s="34" t="s">
        <v>173</v>
      </c>
      <c r="U35" s="34" t="s">
        <v>173</v>
      </c>
      <c r="V35" s="34" t="s">
        <v>173</v>
      </c>
      <c r="W35" s="34" t="s">
        <v>173</v>
      </c>
      <c r="X35" s="34" t="s">
        <v>173</v>
      </c>
      <c r="Y35" s="36" t="s">
        <v>173</v>
      </c>
      <c r="Z35" s="36" t="s">
        <v>173</v>
      </c>
      <c r="AA35" s="36">
        <v>0.45500000000000002</v>
      </c>
      <c r="AB35" s="36" t="s">
        <v>173</v>
      </c>
      <c r="AC35" s="36" t="s">
        <v>173</v>
      </c>
      <c r="AD35" s="36">
        <v>0.47639999999999999</v>
      </c>
    </row>
    <row r="36" spans="1:30" x14ac:dyDescent="0.25">
      <c r="A36" s="56" t="s">
        <v>171</v>
      </c>
      <c r="B36" s="307" t="s">
        <v>173</v>
      </c>
      <c r="C36" s="308" t="s">
        <v>214</v>
      </c>
      <c r="D36" s="308" t="s">
        <v>214</v>
      </c>
      <c r="E36" s="308" t="s">
        <v>214</v>
      </c>
      <c r="F36" s="308" t="s">
        <v>214</v>
      </c>
      <c r="G36" s="308" t="s">
        <v>214</v>
      </c>
      <c r="H36" s="308" t="s">
        <v>214</v>
      </c>
      <c r="I36" s="308" t="s">
        <v>214</v>
      </c>
      <c r="J36" s="308" t="s">
        <v>214</v>
      </c>
      <c r="K36" s="308" t="s">
        <v>214</v>
      </c>
      <c r="L36" s="308" t="s">
        <v>214</v>
      </c>
      <c r="M36" s="77" t="s">
        <v>214</v>
      </c>
      <c r="N36" s="77" t="s">
        <v>214</v>
      </c>
      <c r="O36" s="77" t="s">
        <v>214</v>
      </c>
      <c r="P36" s="77" t="s">
        <v>214</v>
      </c>
      <c r="Q36" s="77" t="s">
        <v>214</v>
      </c>
      <c r="R36" s="77" t="s">
        <v>214</v>
      </c>
      <c r="S36" s="77" t="s">
        <v>214</v>
      </c>
      <c r="T36" s="77" t="s">
        <v>214</v>
      </c>
      <c r="U36" s="77" t="s">
        <v>214</v>
      </c>
      <c r="V36" s="77" t="s">
        <v>214</v>
      </c>
      <c r="W36" s="77" t="s">
        <v>214</v>
      </c>
      <c r="X36" s="77" t="s">
        <v>214</v>
      </c>
      <c r="Y36" s="36" t="s">
        <v>173</v>
      </c>
      <c r="Z36" s="36" t="s">
        <v>173</v>
      </c>
      <c r="AA36" s="36">
        <v>0.51600000000000001</v>
      </c>
      <c r="AB36" s="36" t="s">
        <v>173</v>
      </c>
      <c r="AC36" s="36" t="s">
        <v>173</v>
      </c>
      <c r="AD36" s="36">
        <v>0.53739999999999999</v>
      </c>
    </row>
    <row r="37" spans="1:30" x14ac:dyDescent="0.25">
      <c r="A37" s="56" t="s">
        <v>207</v>
      </c>
      <c r="B37" s="307" t="s">
        <v>173</v>
      </c>
      <c r="C37" s="307">
        <v>15</v>
      </c>
      <c r="D37" s="307">
        <v>15.5</v>
      </c>
      <c r="E37" s="307">
        <v>16</v>
      </c>
      <c r="F37" s="307">
        <v>16.5</v>
      </c>
      <c r="G37" s="307">
        <v>17</v>
      </c>
      <c r="H37" s="307">
        <v>17.5</v>
      </c>
      <c r="I37" s="307">
        <v>18</v>
      </c>
      <c r="J37" s="307">
        <v>18.5</v>
      </c>
      <c r="K37" s="307">
        <v>19</v>
      </c>
      <c r="L37" s="307">
        <v>19.5</v>
      </c>
      <c r="M37" s="34">
        <v>20</v>
      </c>
      <c r="N37" s="34">
        <v>20.5</v>
      </c>
      <c r="O37" s="34">
        <v>21</v>
      </c>
      <c r="P37" s="34">
        <v>21.5</v>
      </c>
      <c r="Q37" s="34">
        <v>22</v>
      </c>
      <c r="R37" s="34">
        <v>22.5</v>
      </c>
      <c r="S37" s="34">
        <v>23</v>
      </c>
      <c r="T37" s="34">
        <v>23.5</v>
      </c>
      <c r="U37" s="34">
        <v>24</v>
      </c>
      <c r="V37" s="34">
        <v>24.5</v>
      </c>
      <c r="W37" s="34">
        <v>25</v>
      </c>
      <c r="X37" s="34">
        <v>25</v>
      </c>
      <c r="Y37" s="36">
        <v>2.3E-2</v>
      </c>
      <c r="Z37" s="36">
        <v>2.3E-2</v>
      </c>
      <c r="AA37" s="36" t="s">
        <v>173</v>
      </c>
      <c r="AB37" s="36">
        <v>4.4400000000000002E-2</v>
      </c>
      <c r="AC37" s="36">
        <v>4.4400000000000002E-2</v>
      </c>
      <c r="AD37" s="36" t="s">
        <v>173</v>
      </c>
    </row>
    <row r="38" spans="1:30" x14ac:dyDescent="0.25">
      <c r="A38" s="56" t="s">
        <v>234</v>
      </c>
      <c r="B38" s="307" t="s">
        <v>173</v>
      </c>
      <c r="C38" s="308" t="s">
        <v>214</v>
      </c>
      <c r="D38" s="308" t="s">
        <v>214</v>
      </c>
      <c r="E38" s="308" t="s">
        <v>214</v>
      </c>
      <c r="F38" s="308" t="s">
        <v>214</v>
      </c>
      <c r="G38" s="308" t="s">
        <v>214</v>
      </c>
      <c r="H38" s="308" t="s">
        <v>214</v>
      </c>
      <c r="I38" s="308" t="s">
        <v>214</v>
      </c>
      <c r="J38" s="308" t="s">
        <v>214</v>
      </c>
      <c r="K38" s="308" t="s">
        <v>214</v>
      </c>
      <c r="L38" s="308" t="s">
        <v>214</v>
      </c>
      <c r="M38" s="77" t="s">
        <v>214</v>
      </c>
      <c r="N38" s="77" t="s">
        <v>214</v>
      </c>
      <c r="O38" s="77" t="s">
        <v>214</v>
      </c>
      <c r="P38" s="77" t="s">
        <v>214</v>
      </c>
      <c r="Q38" s="77" t="s">
        <v>214</v>
      </c>
      <c r="R38" s="77" t="s">
        <v>214</v>
      </c>
      <c r="S38" s="77" t="s">
        <v>214</v>
      </c>
      <c r="T38" s="77" t="s">
        <v>214</v>
      </c>
      <c r="U38" s="77" t="s">
        <v>214</v>
      </c>
      <c r="V38" s="77" t="s">
        <v>214</v>
      </c>
      <c r="W38" s="77" t="s">
        <v>214</v>
      </c>
      <c r="X38" s="77" t="s">
        <v>214</v>
      </c>
      <c r="Y38" s="36" t="s">
        <v>173</v>
      </c>
      <c r="Z38" s="36" t="s">
        <v>173</v>
      </c>
      <c r="AA38" s="36">
        <v>6.3E-2</v>
      </c>
      <c r="AB38" s="36" t="s">
        <v>173</v>
      </c>
      <c r="AC38" s="36" t="s">
        <v>173</v>
      </c>
      <c r="AD38" s="36">
        <v>8.4400000000000003E-2</v>
      </c>
    </row>
    <row r="39" spans="1:30" x14ac:dyDescent="0.25">
      <c r="B39" s="309"/>
      <c r="C39" s="309"/>
      <c r="D39" s="309"/>
      <c r="E39" s="309"/>
      <c r="F39" s="309"/>
      <c r="G39" s="309"/>
      <c r="H39" s="309"/>
      <c r="I39" s="309"/>
      <c r="J39" s="309"/>
      <c r="K39" s="309"/>
      <c r="L39" s="309"/>
      <c r="M39" s="39"/>
      <c r="N39" s="39"/>
      <c r="O39" s="39"/>
      <c r="P39" s="39"/>
      <c r="Q39" s="39"/>
      <c r="R39" s="39"/>
      <c r="S39" s="39"/>
      <c r="T39" s="39"/>
      <c r="U39" s="39"/>
      <c r="V39" s="39"/>
      <c r="W39" s="39"/>
      <c r="X39" s="39"/>
    </row>
    <row r="40" spans="1:30" x14ac:dyDescent="0.25">
      <c r="B40" s="309"/>
      <c r="C40" s="309"/>
      <c r="D40" s="309"/>
      <c r="E40" s="309"/>
      <c r="F40" s="309"/>
      <c r="G40" s="309"/>
      <c r="H40" s="309"/>
      <c r="I40" s="309"/>
      <c r="J40" s="309"/>
      <c r="K40" s="309"/>
      <c r="L40" s="309"/>
      <c r="M40" s="39"/>
      <c r="N40" s="39"/>
      <c r="O40" s="39"/>
      <c r="P40" s="39"/>
      <c r="Q40" s="39"/>
      <c r="R40" s="39"/>
      <c r="S40" s="39"/>
      <c r="T40" s="39"/>
      <c r="U40" s="39"/>
      <c r="V40" s="39"/>
      <c r="W40" s="39"/>
      <c r="X40" s="39"/>
    </row>
    <row r="41" spans="1:30" ht="16.5" thickBot="1" x14ac:dyDescent="0.3">
      <c r="B41" s="309"/>
      <c r="C41" s="309"/>
      <c r="D41" s="309"/>
      <c r="E41" s="309"/>
      <c r="F41" s="309"/>
      <c r="G41" s="309"/>
      <c r="H41" s="309"/>
      <c r="I41" s="309"/>
      <c r="J41" s="309"/>
      <c r="K41" s="309"/>
      <c r="L41" s="309"/>
      <c r="M41" s="39"/>
      <c r="N41" s="39"/>
      <c r="O41" s="39"/>
      <c r="P41" s="39"/>
      <c r="Q41" s="39"/>
      <c r="R41" s="39"/>
      <c r="S41" s="39"/>
      <c r="T41" s="39"/>
      <c r="U41" s="39"/>
      <c r="V41" s="39"/>
      <c r="W41" s="39"/>
      <c r="X41" s="39"/>
    </row>
    <row r="42" spans="1:30" s="97" customFormat="1" ht="31.5" x14ac:dyDescent="0.25">
      <c r="A42" s="100"/>
      <c r="B42" s="310" t="s">
        <v>240</v>
      </c>
      <c r="C42" s="311"/>
      <c r="D42" s="311"/>
      <c r="E42" s="311"/>
      <c r="F42" s="311"/>
      <c r="G42" s="311"/>
      <c r="H42" s="311"/>
      <c r="I42" s="311"/>
      <c r="J42" s="311"/>
      <c r="K42" s="311"/>
      <c r="L42" s="311"/>
      <c r="M42" s="98"/>
      <c r="N42" s="98"/>
      <c r="O42" s="98"/>
      <c r="P42" s="98"/>
      <c r="Q42" s="98"/>
      <c r="R42" s="98"/>
      <c r="S42" s="98"/>
      <c r="T42" s="98"/>
      <c r="U42" s="98"/>
      <c r="V42" s="98"/>
      <c r="W42" s="98"/>
      <c r="X42" s="99"/>
      <c r="Y42" s="99"/>
      <c r="Z42" s="99"/>
    </row>
    <row r="43" spans="1:30" x14ac:dyDescent="0.25">
      <c r="A43" s="101" t="s">
        <v>238</v>
      </c>
      <c r="B43" s="312">
        <v>0</v>
      </c>
      <c r="C43" s="309"/>
      <c r="D43" s="309"/>
      <c r="E43" s="309"/>
      <c r="F43" s="309"/>
      <c r="G43" s="309"/>
      <c r="H43" s="309"/>
      <c r="I43" s="309"/>
      <c r="J43" s="309"/>
      <c r="K43" s="309"/>
      <c r="L43" s="309"/>
      <c r="M43" s="39"/>
      <c r="N43" s="39"/>
      <c r="O43" s="39"/>
      <c r="P43" s="39"/>
      <c r="Q43" s="39"/>
      <c r="R43" s="39"/>
      <c r="S43" s="39"/>
      <c r="T43" s="39"/>
      <c r="U43" s="39"/>
      <c r="V43" s="39"/>
      <c r="W43" s="39"/>
      <c r="X43" s="36"/>
      <c r="AA43"/>
    </row>
    <row r="44" spans="1:30" x14ac:dyDescent="0.25">
      <c r="A44" s="101" t="s">
        <v>239</v>
      </c>
      <c r="B44" s="312">
        <v>1678</v>
      </c>
      <c r="C44" s="309"/>
      <c r="D44" s="309"/>
      <c r="E44" s="309"/>
      <c r="F44" s="309"/>
      <c r="G44" s="309"/>
      <c r="H44" s="309"/>
      <c r="I44" s="309"/>
      <c r="J44" s="309"/>
      <c r="K44" s="309"/>
      <c r="L44" s="309"/>
      <c r="M44" s="39"/>
      <c r="N44" s="39"/>
      <c r="O44" s="39"/>
      <c r="P44" s="39"/>
      <c r="Q44" s="39"/>
      <c r="R44" s="39"/>
      <c r="S44" s="39"/>
      <c r="T44" s="39"/>
      <c r="U44" s="39"/>
      <c r="V44" s="39"/>
      <c r="W44" s="39"/>
      <c r="X44" s="36"/>
      <c r="AA44"/>
    </row>
    <row r="45" spans="1:30" x14ac:dyDescent="0.25">
      <c r="A45" s="101" t="s">
        <v>235</v>
      </c>
      <c r="B45" s="312">
        <v>518.33000000000004</v>
      </c>
      <c r="C45" s="309"/>
      <c r="D45" s="309"/>
      <c r="E45" s="309"/>
      <c r="F45" s="309"/>
      <c r="G45" s="309"/>
      <c r="H45" s="309"/>
      <c r="I45" s="309"/>
      <c r="J45" s="309"/>
      <c r="K45" s="309"/>
      <c r="L45" s="309"/>
      <c r="M45" s="39"/>
      <c r="N45" s="39"/>
      <c r="O45" s="39"/>
      <c r="P45" s="39"/>
      <c r="Q45" s="39"/>
      <c r="R45" s="39"/>
      <c r="S45" s="39"/>
      <c r="T45" s="39"/>
      <c r="U45" s="39"/>
      <c r="V45" s="39"/>
      <c r="W45" s="39"/>
      <c r="X45" s="36"/>
      <c r="AA45"/>
    </row>
    <row r="46" spans="1:30" ht="16.5" thickBot="1" x14ac:dyDescent="0.3">
      <c r="A46" s="102" t="s">
        <v>237</v>
      </c>
      <c r="B46" s="313">
        <v>1575.33</v>
      </c>
      <c r="C46" s="309"/>
      <c r="D46" s="309"/>
      <c r="E46" s="309"/>
      <c r="F46" s="309"/>
      <c r="G46" s="309"/>
      <c r="H46" s="309"/>
      <c r="I46" s="309"/>
      <c r="J46" s="309"/>
      <c r="K46" s="309"/>
      <c r="L46" s="309"/>
      <c r="M46" s="39"/>
      <c r="N46" s="39"/>
      <c r="O46" s="39"/>
      <c r="P46" s="39"/>
      <c r="Q46" s="39"/>
      <c r="R46" s="39"/>
      <c r="S46" s="39"/>
      <c r="T46" s="39"/>
      <c r="U46" s="39"/>
      <c r="V46" s="39"/>
      <c r="W46" s="39"/>
      <c r="X46" s="36"/>
      <c r="AA46"/>
    </row>
    <row r="47" spans="1:30" x14ac:dyDescent="0.25">
      <c r="B47" s="309"/>
      <c r="C47" s="309"/>
      <c r="D47" s="309"/>
      <c r="E47" s="309"/>
      <c r="F47" s="309"/>
      <c r="G47" s="309"/>
      <c r="H47" s="309"/>
      <c r="I47" s="309"/>
      <c r="J47" s="309"/>
      <c r="K47" s="309"/>
      <c r="L47" s="309"/>
      <c r="M47" s="39"/>
      <c r="N47" s="39"/>
      <c r="O47" s="39"/>
      <c r="P47" s="39"/>
      <c r="Q47" s="39"/>
      <c r="R47" s="39"/>
      <c r="S47" s="39"/>
      <c r="T47" s="39"/>
      <c r="U47" s="39"/>
      <c r="V47" s="39"/>
      <c r="W47" s="39"/>
      <c r="X47" s="39"/>
    </row>
    <row r="48" spans="1:30" x14ac:dyDescent="0.25">
      <c r="B48" s="309"/>
      <c r="C48" s="309"/>
      <c r="D48" s="309"/>
      <c r="E48" s="309"/>
      <c r="F48" s="309"/>
      <c r="G48" s="309"/>
      <c r="H48" s="309"/>
      <c r="I48" s="309"/>
      <c r="J48" s="309"/>
      <c r="K48" s="309"/>
      <c r="L48" s="309"/>
      <c r="M48" s="39"/>
      <c r="N48" s="39"/>
      <c r="O48" s="39"/>
      <c r="P48" s="39"/>
      <c r="Q48" s="39"/>
      <c r="R48" s="39"/>
      <c r="S48" s="39"/>
      <c r="T48" s="39"/>
      <c r="U48" s="39"/>
      <c r="V48" s="39"/>
      <c r="W48" s="39"/>
      <c r="X48" s="39"/>
    </row>
    <row r="49" spans="2:27" x14ac:dyDescent="0.25">
      <c r="B49" s="309"/>
      <c r="C49" s="309"/>
      <c r="D49" s="309"/>
      <c r="E49" s="309"/>
      <c r="F49" s="309"/>
      <c r="G49" s="309"/>
      <c r="H49" s="309"/>
      <c r="I49" s="309"/>
      <c r="J49" s="309"/>
      <c r="K49" s="309"/>
      <c r="L49" s="309"/>
      <c r="M49" s="39"/>
      <c r="N49" s="39"/>
      <c r="O49" s="39"/>
      <c r="P49" s="39"/>
      <c r="Q49" s="39"/>
      <c r="R49" s="39"/>
      <c r="S49" s="39"/>
      <c r="T49" s="39"/>
      <c r="U49" s="39"/>
      <c r="V49" s="39"/>
      <c r="W49" s="39"/>
      <c r="X49" s="39"/>
    </row>
    <row r="50" spans="2:27" x14ac:dyDescent="0.25">
      <c r="B50" s="309"/>
      <c r="C50" s="309"/>
      <c r="D50" s="309"/>
      <c r="E50" s="309"/>
      <c r="F50" s="309"/>
      <c r="G50" s="309"/>
      <c r="H50" s="309"/>
      <c r="I50" s="309"/>
      <c r="J50" s="309"/>
      <c r="K50" s="309"/>
      <c r="L50" s="309"/>
      <c r="M50" s="39"/>
      <c r="N50" s="39"/>
      <c r="O50" s="39"/>
      <c r="P50" s="39"/>
      <c r="Q50" s="39"/>
      <c r="R50" s="39"/>
      <c r="S50" s="39"/>
      <c r="T50" s="39"/>
      <c r="U50" s="39"/>
      <c r="V50" s="39"/>
      <c r="W50" s="39"/>
      <c r="X50" s="39"/>
    </row>
    <row r="51" spans="2:27" x14ac:dyDescent="0.25">
      <c r="B51" s="309"/>
      <c r="C51" s="309"/>
      <c r="D51" s="309"/>
      <c r="E51" s="309"/>
      <c r="F51" s="309"/>
      <c r="G51" s="309"/>
      <c r="H51" s="309"/>
      <c r="I51" s="309"/>
      <c r="J51" s="309"/>
      <c r="K51" s="309"/>
      <c r="L51" s="309"/>
      <c r="M51" s="39"/>
      <c r="N51" s="39"/>
      <c r="O51" s="39"/>
      <c r="P51" s="39"/>
      <c r="Q51" s="39"/>
      <c r="R51" s="39"/>
      <c r="S51" s="39"/>
      <c r="T51" s="39"/>
      <c r="U51" s="39"/>
      <c r="V51" s="39"/>
      <c r="W51" s="39"/>
      <c r="X51" s="39"/>
    </row>
    <row r="52" spans="2:27" x14ac:dyDescent="0.25">
      <c r="B52" s="309"/>
      <c r="C52" s="309"/>
      <c r="D52" s="309"/>
      <c r="E52" s="309"/>
      <c r="F52" s="309"/>
      <c r="G52" s="309"/>
      <c r="H52" s="309"/>
      <c r="I52" s="309"/>
      <c r="J52" s="309"/>
      <c r="K52" s="309"/>
      <c r="L52" s="309"/>
      <c r="M52" s="39"/>
      <c r="N52" s="39"/>
      <c r="O52" s="39"/>
      <c r="P52" s="39"/>
      <c r="Q52" s="39"/>
      <c r="R52" s="39"/>
      <c r="S52" s="39"/>
      <c r="T52" s="39"/>
      <c r="U52" s="39"/>
      <c r="V52" s="39"/>
      <c r="W52" s="39"/>
      <c r="X52" s="39"/>
    </row>
    <row r="53" spans="2:27" x14ac:dyDescent="0.25">
      <c r="B53" s="309"/>
      <c r="C53" s="309"/>
      <c r="D53" s="309"/>
      <c r="E53" s="309"/>
      <c r="F53" s="309"/>
      <c r="G53" s="309"/>
      <c r="H53" s="309"/>
      <c r="I53" s="309"/>
      <c r="J53" s="309"/>
      <c r="K53" s="309"/>
      <c r="L53" s="309"/>
      <c r="M53" s="39"/>
      <c r="N53" s="39"/>
      <c r="O53" s="39"/>
      <c r="P53" s="39"/>
      <c r="Q53" s="39"/>
      <c r="R53" s="39"/>
      <c r="S53" s="39"/>
      <c r="T53" s="39"/>
      <c r="U53" s="39"/>
      <c r="V53" s="39"/>
      <c r="W53" s="39"/>
      <c r="X53" s="39"/>
      <c r="Y53"/>
      <c r="Z53"/>
      <c r="AA53"/>
    </row>
    <row r="54" spans="2:27" x14ac:dyDescent="0.25">
      <c r="B54" s="309"/>
      <c r="C54" s="309"/>
      <c r="D54" s="309"/>
      <c r="E54" s="309"/>
      <c r="F54" s="309"/>
      <c r="G54" s="309"/>
      <c r="H54" s="309"/>
      <c r="I54" s="309"/>
      <c r="J54" s="309"/>
      <c r="K54" s="309"/>
      <c r="L54" s="309"/>
      <c r="M54" s="39"/>
      <c r="N54" s="39"/>
      <c r="O54" s="39"/>
      <c r="P54" s="39"/>
      <c r="Q54" s="39"/>
      <c r="R54" s="39"/>
      <c r="S54" s="39"/>
      <c r="T54" s="39"/>
      <c r="U54" s="39"/>
      <c r="V54" s="39"/>
      <c r="W54" s="39"/>
      <c r="X54" s="39"/>
      <c r="Y54"/>
      <c r="Z54"/>
      <c r="AA54"/>
    </row>
    <row r="55" spans="2:27" x14ac:dyDescent="0.25">
      <c r="B55" s="309"/>
      <c r="C55" s="309"/>
      <c r="D55" s="309"/>
      <c r="E55" s="309"/>
      <c r="F55" s="309"/>
      <c r="G55" s="309"/>
      <c r="H55" s="309"/>
      <c r="I55" s="309"/>
      <c r="J55" s="309"/>
      <c r="K55" s="309"/>
      <c r="L55" s="309"/>
      <c r="M55" s="39"/>
      <c r="N55" s="39"/>
      <c r="O55" s="39"/>
      <c r="P55" s="39"/>
      <c r="Q55" s="39"/>
      <c r="R55" s="39"/>
      <c r="S55" s="39"/>
      <c r="T55" s="39"/>
      <c r="U55" s="39"/>
      <c r="V55" s="39"/>
      <c r="W55" s="39"/>
      <c r="X55" s="39"/>
      <c r="Y55"/>
      <c r="Z55"/>
      <c r="AA55"/>
    </row>
    <row r="56" spans="2:27" x14ac:dyDescent="0.25">
      <c r="B56" s="309"/>
      <c r="C56" s="309"/>
      <c r="D56" s="309"/>
      <c r="E56" s="309"/>
      <c r="F56" s="309"/>
      <c r="G56" s="309"/>
      <c r="H56" s="309"/>
      <c r="I56" s="309"/>
      <c r="J56" s="309"/>
      <c r="K56" s="309"/>
      <c r="L56" s="309"/>
      <c r="M56" s="39"/>
      <c r="N56" s="39"/>
      <c r="O56" s="39"/>
      <c r="P56" s="39"/>
      <c r="Q56" s="39"/>
      <c r="R56" s="39"/>
      <c r="S56" s="39"/>
      <c r="T56" s="39"/>
      <c r="U56" s="39"/>
      <c r="V56" s="39"/>
      <c r="W56" s="39"/>
      <c r="X56" s="39"/>
      <c r="Y56"/>
      <c r="Z56"/>
      <c r="AA56"/>
    </row>
    <row r="57" spans="2:27" x14ac:dyDescent="0.25">
      <c r="B57" s="309"/>
      <c r="C57" s="309"/>
      <c r="D57" s="309"/>
      <c r="E57" s="309"/>
      <c r="F57" s="309"/>
      <c r="G57" s="309"/>
      <c r="H57" s="309"/>
      <c r="I57" s="309"/>
      <c r="J57" s="309"/>
      <c r="K57" s="309"/>
      <c r="L57" s="309"/>
      <c r="M57" s="39"/>
      <c r="N57" s="39"/>
      <c r="O57" s="39"/>
      <c r="P57" s="39"/>
      <c r="Q57" s="39"/>
      <c r="R57" s="39"/>
      <c r="S57" s="39"/>
      <c r="T57" s="39"/>
      <c r="U57" s="39"/>
      <c r="V57" s="39"/>
      <c r="W57" s="39"/>
      <c r="X57" s="39"/>
      <c r="Y57"/>
      <c r="Z57"/>
      <c r="AA57"/>
    </row>
    <row r="58" spans="2:27" x14ac:dyDescent="0.25">
      <c r="B58" s="309"/>
      <c r="C58" s="309"/>
      <c r="D58" s="309"/>
      <c r="E58" s="309"/>
      <c r="F58" s="309"/>
      <c r="G58" s="309"/>
      <c r="H58" s="309"/>
      <c r="I58" s="309"/>
      <c r="J58" s="309"/>
      <c r="K58" s="309"/>
      <c r="L58" s="309"/>
      <c r="M58" s="39"/>
      <c r="N58" s="39"/>
      <c r="O58" s="39"/>
      <c r="P58" s="39"/>
      <c r="Q58" s="39"/>
      <c r="R58" s="39"/>
      <c r="S58" s="39"/>
      <c r="T58" s="39"/>
      <c r="U58" s="39"/>
      <c r="V58" s="39"/>
      <c r="W58" s="39"/>
      <c r="X58" s="39"/>
      <c r="Y58"/>
      <c r="Z58"/>
      <c r="AA58"/>
    </row>
    <row r="59" spans="2:27" x14ac:dyDescent="0.25">
      <c r="B59" s="309"/>
      <c r="C59" s="309"/>
      <c r="D59" s="309"/>
      <c r="E59" s="309"/>
      <c r="F59" s="309"/>
      <c r="G59" s="309"/>
      <c r="H59" s="309"/>
      <c r="I59" s="309"/>
      <c r="J59" s="309"/>
      <c r="K59" s="309"/>
      <c r="L59" s="309"/>
      <c r="M59" s="39"/>
      <c r="N59" s="39"/>
      <c r="O59" s="39"/>
      <c r="P59" s="39"/>
      <c r="Q59" s="39"/>
      <c r="R59" s="39"/>
      <c r="S59" s="39"/>
      <c r="T59" s="39"/>
      <c r="U59" s="39"/>
      <c r="V59" s="39"/>
      <c r="W59" s="39"/>
      <c r="X59" s="39"/>
      <c r="Y59"/>
      <c r="Z59"/>
      <c r="AA59"/>
    </row>
    <row r="60" spans="2:27" x14ac:dyDescent="0.25">
      <c r="B60" s="309"/>
      <c r="C60" s="309"/>
      <c r="D60" s="309"/>
      <c r="E60" s="309"/>
      <c r="F60" s="309"/>
      <c r="G60" s="309"/>
      <c r="H60" s="309"/>
      <c r="I60" s="309"/>
      <c r="J60" s="309"/>
      <c r="K60" s="309"/>
      <c r="L60" s="309"/>
      <c r="M60" s="39"/>
      <c r="N60" s="39"/>
      <c r="O60" s="39"/>
      <c r="P60" s="39"/>
      <c r="Q60" s="39"/>
      <c r="R60" s="39"/>
      <c r="S60" s="39"/>
      <c r="T60" s="39"/>
      <c r="U60" s="39"/>
      <c r="V60" s="39"/>
      <c r="W60" s="39"/>
      <c r="X60" s="39"/>
      <c r="Y60"/>
      <c r="Z60"/>
      <c r="AA60"/>
    </row>
    <row r="61" spans="2:27" x14ac:dyDescent="0.25">
      <c r="B61" s="309"/>
      <c r="C61" s="309"/>
      <c r="D61" s="309"/>
      <c r="E61" s="309"/>
      <c r="F61" s="309"/>
      <c r="G61" s="309"/>
      <c r="H61" s="309"/>
      <c r="I61" s="309"/>
      <c r="J61" s="309"/>
      <c r="K61" s="309"/>
      <c r="L61" s="309"/>
      <c r="M61" s="39"/>
      <c r="N61" s="39"/>
      <c r="O61" s="39"/>
      <c r="P61" s="39"/>
      <c r="Q61" s="39"/>
      <c r="R61" s="39"/>
      <c r="S61" s="39"/>
      <c r="T61" s="39"/>
      <c r="U61" s="39"/>
      <c r="V61" s="39"/>
      <c r="W61" s="39"/>
      <c r="X61" s="39"/>
      <c r="Y61"/>
      <c r="Z61"/>
      <c r="AA61"/>
    </row>
    <row r="62" spans="2:27" x14ac:dyDescent="0.25">
      <c r="B62" s="309"/>
      <c r="C62" s="309"/>
      <c r="D62" s="309"/>
      <c r="E62" s="309"/>
      <c r="F62" s="309"/>
      <c r="G62" s="309"/>
      <c r="H62" s="309"/>
      <c r="I62" s="309"/>
      <c r="J62" s="309"/>
      <c r="K62" s="309"/>
      <c r="L62" s="309"/>
      <c r="M62" s="39"/>
      <c r="N62" s="39"/>
      <c r="O62" s="39"/>
      <c r="P62" s="39"/>
      <c r="Q62" s="39"/>
      <c r="R62" s="39"/>
      <c r="S62" s="39"/>
      <c r="T62" s="39"/>
      <c r="U62" s="39"/>
      <c r="V62" s="39"/>
      <c r="W62" s="39"/>
      <c r="X62" s="39"/>
      <c r="Y62"/>
      <c r="Z62"/>
      <c r="AA62"/>
    </row>
    <row r="63" spans="2:27" x14ac:dyDescent="0.25">
      <c r="B63" s="309"/>
      <c r="C63" s="309"/>
      <c r="D63" s="309"/>
      <c r="E63" s="309"/>
      <c r="F63" s="309"/>
      <c r="G63" s="309"/>
      <c r="H63" s="309"/>
      <c r="I63" s="309"/>
      <c r="J63" s="309"/>
      <c r="K63" s="309"/>
      <c r="L63" s="309"/>
      <c r="M63" s="39"/>
      <c r="N63" s="39"/>
      <c r="O63" s="39"/>
      <c r="P63" s="39"/>
      <c r="Q63" s="39"/>
      <c r="R63" s="39"/>
      <c r="S63" s="39"/>
      <c r="T63" s="39"/>
      <c r="U63" s="39"/>
      <c r="V63" s="39"/>
      <c r="W63" s="39"/>
      <c r="X63" s="39"/>
      <c r="Y63"/>
      <c r="Z63"/>
      <c r="AA63"/>
    </row>
    <row r="64" spans="2:27" x14ac:dyDescent="0.25">
      <c r="B64" s="309"/>
      <c r="C64" s="309"/>
      <c r="D64" s="309"/>
      <c r="E64" s="309"/>
      <c r="F64" s="309"/>
      <c r="G64" s="309"/>
      <c r="H64" s="309"/>
      <c r="I64" s="309"/>
      <c r="J64" s="309"/>
      <c r="K64" s="309"/>
      <c r="L64" s="309"/>
      <c r="M64" s="39"/>
      <c r="N64" s="39"/>
      <c r="O64" s="39"/>
      <c r="P64" s="39"/>
      <c r="Q64" s="39"/>
      <c r="R64" s="39"/>
      <c r="S64" s="39"/>
      <c r="T64" s="39"/>
      <c r="U64" s="39"/>
      <c r="V64" s="39"/>
      <c r="W64" s="39"/>
      <c r="X64" s="39"/>
      <c r="Y64"/>
      <c r="Z64"/>
      <c r="AA64"/>
    </row>
    <row r="65" spans="2:27" x14ac:dyDescent="0.25">
      <c r="B65" s="309"/>
      <c r="C65" s="309"/>
      <c r="D65" s="309"/>
      <c r="E65" s="309"/>
      <c r="F65" s="309"/>
      <c r="G65" s="309"/>
      <c r="H65" s="309"/>
      <c r="I65" s="309"/>
      <c r="J65" s="309"/>
      <c r="K65" s="309"/>
      <c r="L65" s="309"/>
      <c r="M65" s="39"/>
      <c r="N65" s="39"/>
      <c r="O65" s="39"/>
      <c r="P65" s="39"/>
      <c r="Q65" s="39"/>
      <c r="R65" s="39"/>
      <c r="S65" s="39"/>
      <c r="T65" s="39"/>
      <c r="U65" s="39"/>
      <c r="V65" s="39"/>
      <c r="W65" s="39"/>
      <c r="X65" s="39"/>
      <c r="Y65"/>
      <c r="Z65"/>
      <c r="AA65"/>
    </row>
    <row r="66" spans="2:27" x14ac:dyDescent="0.25">
      <c r="B66" s="309"/>
      <c r="C66" s="309"/>
      <c r="D66" s="309"/>
      <c r="E66" s="309"/>
      <c r="F66" s="309"/>
      <c r="G66" s="309"/>
      <c r="H66" s="309"/>
      <c r="I66" s="309"/>
      <c r="J66" s="309"/>
      <c r="K66" s="309"/>
      <c r="L66" s="309"/>
      <c r="M66" s="39"/>
      <c r="N66" s="39"/>
      <c r="O66" s="39"/>
      <c r="P66" s="39"/>
      <c r="Q66" s="39"/>
      <c r="R66" s="39"/>
      <c r="S66" s="39"/>
      <c r="T66" s="39"/>
      <c r="U66" s="39"/>
      <c r="V66" s="39"/>
      <c r="W66" s="39"/>
      <c r="X66" s="39"/>
      <c r="Y66"/>
      <c r="Z66"/>
      <c r="AA66"/>
    </row>
    <row r="67" spans="2:27" x14ac:dyDescent="0.25">
      <c r="B67" s="309"/>
      <c r="C67" s="309"/>
      <c r="D67" s="309"/>
      <c r="E67" s="309"/>
      <c r="F67" s="309"/>
      <c r="G67" s="309"/>
      <c r="H67" s="309"/>
      <c r="I67" s="309"/>
      <c r="J67" s="309"/>
      <c r="K67" s="309"/>
      <c r="L67" s="309"/>
      <c r="M67" s="39"/>
      <c r="N67" s="39"/>
      <c r="O67" s="39"/>
      <c r="P67" s="39"/>
      <c r="Q67" s="39"/>
      <c r="R67" s="39"/>
      <c r="S67" s="39"/>
      <c r="T67" s="39"/>
      <c r="U67" s="39"/>
      <c r="V67" s="39"/>
      <c r="W67" s="39"/>
      <c r="X67" s="39"/>
      <c r="Y67"/>
      <c r="Z67"/>
      <c r="AA67"/>
    </row>
    <row r="68" spans="2:27" x14ac:dyDescent="0.25">
      <c r="B68" s="309"/>
      <c r="C68" s="309"/>
      <c r="D68" s="309"/>
      <c r="E68" s="309"/>
      <c r="F68" s="309"/>
      <c r="G68" s="309"/>
      <c r="H68" s="309"/>
      <c r="I68" s="309"/>
      <c r="J68" s="309"/>
      <c r="K68" s="309"/>
      <c r="L68" s="309"/>
      <c r="M68" s="39"/>
      <c r="N68" s="39"/>
      <c r="O68" s="39"/>
      <c r="P68" s="39"/>
      <c r="Q68" s="39"/>
      <c r="R68" s="39"/>
      <c r="S68" s="39"/>
      <c r="T68" s="39"/>
      <c r="U68" s="39"/>
      <c r="V68" s="39"/>
      <c r="W68" s="39"/>
      <c r="X68" s="39"/>
      <c r="Y68"/>
      <c r="Z68"/>
      <c r="AA68"/>
    </row>
    <row r="69" spans="2:27" x14ac:dyDescent="0.25">
      <c r="B69" s="309"/>
      <c r="C69" s="309"/>
      <c r="D69" s="309"/>
      <c r="E69" s="309"/>
      <c r="F69" s="309"/>
      <c r="G69" s="309"/>
      <c r="H69" s="309"/>
      <c r="I69" s="309"/>
      <c r="J69" s="309"/>
      <c r="K69" s="309"/>
      <c r="L69" s="309"/>
      <c r="M69" s="39"/>
      <c r="N69" s="39"/>
      <c r="O69" s="39"/>
      <c r="P69" s="39"/>
      <c r="Q69" s="39"/>
      <c r="R69" s="39"/>
      <c r="S69" s="39"/>
      <c r="T69" s="39"/>
      <c r="U69" s="39"/>
      <c r="V69" s="39"/>
      <c r="W69" s="39"/>
      <c r="X69" s="39"/>
      <c r="Y69"/>
      <c r="Z69"/>
      <c r="AA69"/>
    </row>
    <row r="70" spans="2:27" x14ac:dyDescent="0.25">
      <c r="B70" s="309"/>
      <c r="C70" s="309"/>
      <c r="D70" s="309"/>
      <c r="E70" s="309"/>
      <c r="F70" s="309"/>
      <c r="G70" s="309"/>
      <c r="H70" s="309"/>
      <c r="I70" s="309"/>
      <c r="J70" s="309"/>
      <c r="K70" s="309"/>
      <c r="L70" s="309"/>
      <c r="M70" s="39"/>
      <c r="N70" s="39"/>
      <c r="O70" s="39"/>
      <c r="P70" s="39"/>
      <c r="Q70" s="39"/>
      <c r="R70" s="39"/>
      <c r="S70" s="39"/>
      <c r="T70" s="39"/>
      <c r="U70" s="39"/>
      <c r="V70" s="39"/>
      <c r="W70" s="39"/>
      <c r="X70" s="39"/>
      <c r="Y70"/>
      <c r="Z70"/>
      <c r="AA70"/>
    </row>
    <row r="71" spans="2:27" x14ac:dyDescent="0.25">
      <c r="B71" s="309"/>
      <c r="C71" s="309"/>
      <c r="D71" s="309"/>
      <c r="E71" s="309"/>
      <c r="F71" s="309"/>
      <c r="G71" s="309"/>
      <c r="H71" s="309"/>
      <c r="I71" s="309"/>
      <c r="J71" s="309"/>
      <c r="K71" s="309"/>
      <c r="L71" s="309"/>
      <c r="M71" s="39"/>
      <c r="N71" s="39"/>
      <c r="O71" s="39"/>
      <c r="P71" s="39"/>
      <c r="Q71" s="39"/>
      <c r="R71" s="39"/>
      <c r="S71" s="39"/>
      <c r="T71" s="39"/>
      <c r="U71" s="39"/>
      <c r="V71" s="39"/>
      <c r="W71" s="39"/>
      <c r="X71" s="39"/>
      <c r="Y71"/>
      <c r="Z71"/>
      <c r="AA71"/>
    </row>
    <row r="72" spans="2:27" x14ac:dyDescent="0.25">
      <c r="B72" s="309"/>
      <c r="C72" s="309"/>
      <c r="D72" s="309"/>
      <c r="E72" s="309"/>
      <c r="F72" s="309"/>
      <c r="G72" s="309"/>
      <c r="H72" s="309"/>
      <c r="I72" s="309"/>
      <c r="J72" s="309"/>
      <c r="K72" s="309"/>
      <c r="L72" s="309"/>
      <c r="M72" s="39"/>
      <c r="N72" s="39"/>
      <c r="O72" s="39"/>
      <c r="P72" s="39"/>
      <c r="Q72" s="39"/>
      <c r="R72" s="39"/>
      <c r="S72" s="39"/>
      <c r="T72" s="39"/>
      <c r="U72" s="39"/>
      <c r="V72" s="39"/>
      <c r="W72" s="39"/>
      <c r="X72" s="39"/>
      <c r="Y72"/>
      <c r="Z72"/>
      <c r="AA72"/>
    </row>
    <row r="73" spans="2:27" x14ac:dyDescent="0.25">
      <c r="B73" s="309"/>
      <c r="C73" s="309"/>
      <c r="D73" s="309"/>
      <c r="E73" s="309"/>
      <c r="F73" s="309"/>
      <c r="G73" s="309"/>
      <c r="H73" s="309"/>
      <c r="I73" s="309"/>
      <c r="J73" s="309"/>
      <c r="K73" s="309"/>
      <c r="L73" s="309"/>
      <c r="M73" s="39"/>
      <c r="N73" s="39"/>
      <c r="O73" s="39"/>
      <c r="P73" s="39"/>
      <c r="Q73" s="39"/>
      <c r="R73" s="39"/>
      <c r="S73" s="39"/>
      <c r="T73" s="39"/>
      <c r="U73" s="39"/>
      <c r="V73" s="39"/>
      <c r="W73" s="39"/>
      <c r="X73" s="39"/>
      <c r="Y73"/>
      <c r="Z73"/>
      <c r="AA73"/>
    </row>
    <row r="74" spans="2:27" x14ac:dyDescent="0.25">
      <c r="B74" s="309"/>
      <c r="C74" s="309"/>
      <c r="D74" s="309"/>
      <c r="E74" s="309"/>
      <c r="F74" s="309"/>
      <c r="G74" s="309"/>
      <c r="H74" s="309"/>
      <c r="I74" s="309"/>
      <c r="J74" s="309"/>
      <c r="K74" s="309"/>
      <c r="L74" s="309"/>
      <c r="M74" s="39"/>
      <c r="N74" s="39"/>
      <c r="O74" s="39"/>
      <c r="P74" s="39"/>
      <c r="Q74" s="39"/>
      <c r="R74" s="39"/>
      <c r="S74" s="39"/>
      <c r="T74" s="39"/>
      <c r="U74" s="39"/>
      <c r="V74" s="39"/>
      <c r="W74" s="39"/>
      <c r="X74" s="39"/>
      <c r="Y74"/>
      <c r="Z74"/>
      <c r="AA74"/>
    </row>
    <row r="75" spans="2:27" x14ac:dyDescent="0.25">
      <c r="B75" s="309"/>
      <c r="C75" s="309"/>
      <c r="D75" s="309"/>
      <c r="E75" s="309"/>
      <c r="F75" s="309"/>
      <c r="G75" s="309"/>
      <c r="H75" s="309"/>
      <c r="I75" s="309"/>
      <c r="J75" s="309"/>
      <c r="K75" s="309"/>
      <c r="L75" s="309"/>
      <c r="M75" s="39"/>
      <c r="N75" s="39"/>
      <c r="O75" s="39"/>
      <c r="P75" s="39"/>
      <c r="Q75" s="39"/>
      <c r="R75" s="39"/>
      <c r="S75" s="39"/>
      <c r="T75" s="39"/>
      <c r="U75" s="39"/>
      <c r="V75" s="39"/>
      <c r="W75" s="39"/>
      <c r="X75" s="39"/>
      <c r="Y75"/>
      <c r="Z75"/>
      <c r="AA75"/>
    </row>
    <row r="76" spans="2:27" x14ac:dyDescent="0.25">
      <c r="B76" s="309"/>
      <c r="C76" s="309"/>
      <c r="D76" s="309"/>
      <c r="E76" s="309"/>
      <c r="F76" s="309"/>
      <c r="G76" s="309"/>
      <c r="H76" s="309"/>
      <c r="I76" s="309"/>
      <c r="J76" s="309"/>
      <c r="K76" s="309"/>
      <c r="L76" s="309"/>
      <c r="M76" s="39"/>
      <c r="N76" s="39"/>
      <c r="O76" s="39"/>
      <c r="P76" s="39"/>
      <c r="Q76" s="39"/>
      <c r="R76" s="39"/>
      <c r="S76" s="39"/>
      <c r="T76" s="39"/>
      <c r="U76" s="39"/>
      <c r="V76" s="39"/>
      <c r="W76" s="39"/>
      <c r="X76" s="39"/>
      <c r="Y76"/>
      <c r="Z76"/>
      <c r="AA76"/>
    </row>
    <row r="77" spans="2:27" x14ac:dyDescent="0.25">
      <c r="B77" s="309"/>
      <c r="C77" s="309"/>
      <c r="D77" s="309"/>
      <c r="E77" s="309"/>
      <c r="F77" s="309"/>
      <c r="G77" s="309"/>
      <c r="H77" s="309"/>
      <c r="I77" s="309"/>
      <c r="J77" s="309"/>
      <c r="K77" s="309"/>
      <c r="L77" s="309"/>
      <c r="M77" s="39"/>
      <c r="N77" s="39"/>
      <c r="O77" s="39"/>
      <c r="P77" s="39"/>
      <c r="Q77" s="39"/>
      <c r="R77" s="39"/>
      <c r="S77" s="39"/>
      <c r="T77" s="39"/>
      <c r="U77" s="39"/>
      <c r="V77" s="39"/>
      <c r="W77" s="39"/>
      <c r="X77" s="39"/>
      <c r="Y77"/>
      <c r="Z77"/>
      <c r="AA77"/>
    </row>
    <row r="78" spans="2:27" x14ac:dyDescent="0.25">
      <c r="B78" s="309"/>
      <c r="C78" s="309"/>
      <c r="D78" s="309"/>
      <c r="E78" s="309"/>
      <c r="F78" s="309"/>
      <c r="G78" s="309"/>
      <c r="H78" s="309"/>
      <c r="I78" s="309"/>
      <c r="J78" s="309"/>
      <c r="K78" s="309"/>
      <c r="L78" s="309"/>
      <c r="M78" s="39"/>
      <c r="N78" s="39"/>
      <c r="O78" s="39"/>
      <c r="P78" s="39"/>
      <c r="Q78" s="39"/>
      <c r="R78" s="39"/>
      <c r="S78" s="39"/>
      <c r="T78" s="39"/>
      <c r="U78" s="39"/>
      <c r="V78" s="39"/>
      <c r="W78" s="39"/>
      <c r="X78" s="39"/>
      <c r="Y78"/>
      <c r="Z78"/>
      <c r="AA78"/>
    </row>
    <row r="79" spans="2:27" x14ac:dyDescent="0.25">
      <c r="B79" s="309"/>
      <c r="C79" s="309"/>
      <c r="D79" s="309"/>
      <c r="E79" s="309"/>
      <c r="F79" s="309"/>
      <c r="G79" s="309"/>
      <c r="H79" s="309"/>
      <c r="I79" s="309"/>
      <c r="J79" s="309"/>
      <c r="K79" s="309"/>
      <c r="L79" s="309"/>
      <c r="M79" s="39"/>
      <c r="N79" s="39"/>
      <c r="O79" s="39"/>
      <c r="P79" s="39"/>
      <c r="Q79" s="39"/>
      <c r="R79" s="39"/>
      <c r="S79" s="39"/>
      <c r="T79" s="39"/>
      <c r="U79" s="39"/>
      <c r="V79" s="39"/>
      <c r="W79" s="39"/>
      <c r="X79" s="39"/>
      <c r="Y79"/>
      <c r="Z79"/>
      <c r="AA79"/>
    </row>
    <row r="80" spans="2:27" x14ac:dyDescent="0.25">
      <c r="B80" s="309"/>
      <c r="C80" s="309"/>
      <c r="D80" s="309"/>
      <c r="E80" s="309"/>
      <c r="F80" s="309"/>
      <c r="G80" s="309"/>
      <c r="H80" s="309"/>
      <c r="I80" s="309"/>
      <c r="J80" s="309"/>
      <c r="K80" s="309"/>
      <c r="L80" s="309"/>
      <c r="M80" s="39"/>
      <c r="N80" s="39"/>
      <c r="O80" s="39"/>
      <c r="P80" s="39"/>
      <c r="Q80" s="39"/>
      <c r="R80" s="39"/>
      <c r="S80" s="39"/>
      <c r="T80" s="39"/>
      <c r="U80" s="39"/>
      <c r="V80" s="39"/>
      <c r="W80" s="39"/>
      <c r="X80" s="39"/>
      <c r="Y80"/>
      <c r="Z80"/>
      <c r="AA80"/>
    </row>
    <row r="81" spans="2:27" x14ac:dyDescent="0.25">
      <c r="B81" s="309"/>
      <c r="C81" s="309"/>
      <c r="D81" s="309"/>
      <c r="E81" s="309"/>
      <c r="F81" s="309"/>
      <c r="G81" s="309"/>
      <c r="H81" s="309"/>
      <c r="I81" s="309"/>
      <c r="J81" s="309"/>
      <c r="K81" s="309"/>
      <c r="L81" s="309"/>
      <c r="M81" s="39"/>
      <c r="N81" s="39"/>
      <c r="O81" s="39"/>
      <c r="P81" s="39"/>
      <c r="Q81" s="39"/>
      <c r="R81" s="39"/>
      <c r="S81" s="39"/>
      <c r="T81" s="39"/>
      <c r="U81" s="39"/>
      <c r="V81" s="39"/>
      <c r="W81" s="39"/>
      <c r="X81" s="39"/>
      <c r="Y81"/>
      <c r="Z81"/>
      <c r="AA81"/>
    </row>
    <row r="82" spans="2:27" x14ac:dyDescent="0.25">
      <c r="B82" s="309"/>
      <c r="C82" s="309"/>
      <c r="D82" s="309"/>
      <c r="E82" s="309"/>
      <c r="F82" s="309"/>
      <c r="G82" s="309"/>
      <c r="H82" s="309"/>
      <c r="I82" s="309"/>
      <c r="J82" s="309"/>
      <c r="K82" s="309"/>
      <c r="L82" s="309"/>
      <c r="M82" s="39"/>
      <c r="N82" s="39"/>
      <c r="O82" s="39"/>
      <c r="P82" s="39"/>
      <c r="Q82" s="39"/>
      <c r="R82" s="39"/>
      <c r="S82" s="39"/>
      <c r="T82" s="39"/>
      <c r="U82" s="39"/>
      <c r="V82" s="39"/>
      <c r="W82" s="39"/>
      <c r="X82" s="39"/>
      <c r="Y82"/>
      <c r="Z82"/>
      <c r="AA82"/>
    </row>
    <row r="83" spans="2:27" x14ac:dyDescent="0.25">
      <c r="B83" s="309"/>
      <c r="C83" s="309"/>
      <c r="D83" s="309"/>
      <c r="E83" s="309"/>
      <c r="F83" s="309"/>
      <c r="G83" s="309"/>
      <c r="H83" s="309"/>
      <c r="I83" s="309"/>
      <c r="J83" s="309"/>
      <c r="K83" s="309"/>
      <c r="L83" s="309"/>
      <c r="M83" s="39"/>
      <c r="N83" s="39"/>
      <c r="O83" s="39"/>
      <c r="P83" s="39"/>
      <c r="Q83" s="39"/>
      <c r="R83" s="39"/>
      <c r="S83" s="39"/>
      <c r="T83" s="39"/>
      <c r="U83" s="39"/>
      <c r="V83" s="39"/>
      <c r="W83" s="39"/>
      <c r="X83" s="39"/>
      <c r="Y83"/>
      <c r="Z83"/>
      <c r="AA83"/>
    </row>
    <row r="84" spans="2:27" x14ac:dyDescent="0.25">
      <c r="B84" s="309"/>
      <c r="C84" s="309"/>
      <c r="D84" s="309"/>
      <c r="E84" s="309"/>
      <c r="F84" s="309"/>
      <c r="G84" s="309"/>
      <c r="H84" s="309"/>
      <c r="I84" s="309"/>
      <c r="J84" s="309"/>
      <c r="K84" s="309"/>
      <c r="L84" s="309"/>
      <c r="M84" s="39"/>
      <c r="N84" s="39"/>
      <c r="O84" s="39"/>
      <c r="P84" s="39"/>
      <c r="Q84" s="39"/>
      <c r="R84" s="39"/>
      <c r="S84" s="39"/>
      <c r="T84" s="39"/>
      <c r="U84" s="39"/>
      <c r="V84" s="39"/>
      <c r="W84" s="39"/>
      <c r="X84" s="39"/>
      <c r="Y84"/>
      <c r="Z84"/>
      <c r="AA84"/>
    </row>
    <row r="85" spans="2:27" x14ac:dyDescent="0.25">
      <c r="B85" s="309"/>
      <c r="C85" s="309"/>
      <c r="D85" s="309"/>
      <c r="E85" s="309"/>
      <c r="F85" s="309"/>
      <c r="G85" s="309"/>
      <c r="H85" s="309"/>
      <c r="I85" s="309"/>
      <c r="J85" s="309"/>
      <c r="K85" s="309"/>
      <c r="L85" s="309"/>
      <c r="M85" s="39"/>
      <c r="N85" s="39"/>
      <c r="O85" s="39"/>
      <c r="P85" s="39"/>
      <c r="Q85" s="39"/>
      <c r="R85" s="39"/>
      <c r="S85" s="39"/>
      <c r="T85" s="39"/>
      <c r="U85" s="39"/>
      <c r="V85" s="39"/>
      <c r="W85" s="39"/>
      <c r="X85" s="39"/>
      <c r="Y85"/>
      <c r="Z85"/>
      <c r="AA85"/>
    </row>
    <row r="86" spans="2:27" x14ac:dyDescent="0.25">
      <c r="B86" s="309"/>
      <c r="C86" s="309"/>
      <c r="D86" s="309"/>
      <c r="E86" s="309"/>
      <c r="F86" s="309"/>
      <c r="G86" s="309"/>
      <c r="H86" s="309"/>
      <c r="I86" s="309"/>
      <c r="J86" s="309"/>
      <c r="K86" s="309"/>
      <c r="L86" s="309"/>
      <c r="M86" s="39"/>
      <c r="N86" s="39"/>
      <c r="O86" s="39"/>
      <c r="P86" s="39"/>
      <c r="Q86" s="39"/>
      <c r="R86" s="39"/>
      <c r="S86" s="39"/>
      <c r="T86" s="39"/>
      <c r="U86" s="39"/>
      <c r="V86" s="39"/>
      <c r="W86" s="39"/>
      <c r="X86" s="39"/>
      <c r="Y86"/>
      <c r="Z86"/>
      <c r="AA86"/>
    </row>
    <row r="87" spans="2:27" x14ac:dyDescent="0.25">
      <c r="B87" s="309"/>
      <c r="C87" s="309"/>
      <c r="D87" s="309"/>
      <c r="E87" s="309"/>
      <c r="F87" s="309"/>
      <c r="G87" s="309"/>
      <c r="H87" s="309"/>
      <c r="I87" s="309"/>
      <c r="J87" s="309"/>
      <c r="K87" s="309"/>
      <c r="L87" s="309"/>
      <c r="M87" s="39"/>
      <c r="N87" s="39"/>
      <c r="O87" s="39"/>
      <c r="P87" s="39"/>
      <c r="Q87" s="39"/>
      <c r="R87" s="39"/>
      <c r="S87" s="39"/>
      <c r="T87" s="39"/>
      <c r="U87" s="39"/>
      <c r="V87" s="39"/>
      <c r="W87" s="39"/>
      <c r="X87" s="39"/>
      <c r="Y87"/>
      <c r="Z87"/>
      <c r="AA87"/>
    </row>
    <row r="88" spans="2:27" x14ac:dyDescent="0.25">
      <c r="B88" s="309"/>
      <c r="C88" s="309"/>
      <c r="D88" s="309"/>
      <c r="E88" s="309"/>
      <c r="F88" s="309"/>
      <c r="G88" s="309"/>
      <c r="H88" s="309"/>
      <c r="I88" s="309"/>
      <c r="J88" s="309"/>
      <c r="K88" s="309"/>
      <c r="L88" s="309"/>
      <c r="M88" s="39"/>
      <c r="N88" s="39"/>
      <c r="O88" s="39"/>
      <c r="P88" s="39"/>
      <c r="Q88" s="39"/>
      <c r="R88" s="39"/>
      <c r="S88" s="39"/>
      <c r="T88" s="39"/>
      <c r="U88" s="39"/>
      <c r="V88" s="39"/>
      <c r="W88" s="39"/>
      <c r="X88" s="39"/>
      <c r="Y88"/>
      <c r="Z88"/>
      <c r="AA88"/>
    </row>
    <row r="89" spans="2:27" x14ac:dyDescent="0.25">
      <c r="B89" s="309"/>
      <c r="C89" s="309"/>
      <c r="D89" s="309"/>
      <c r="E89" s="309"/>
      <c r="F89" s="309"/>
      <c r="G89" s="309"/>
      <c r="H89" s="309"/>
      <c r="I89" s="309"/>
      <c r="J89" s="309"/>
      <c r="K89" s="309"/>
      <c r="L89" s="309"/>
      <c r="M89" s="39"/>
      <c r="N89" s="39"/>
      <c r="O89" s="39"/>
      <c r="P89" s="39"/>
      <c r="Q89" s="39"/>
      <c r="R89" s="39"/>
      <c r="S89" s="39"/>
      <c r="T89" s="39"/>
      <c r="U89" s="39"/>
      <c r="V89" s="39"/>
      <c r="W89" s="39"/>
      <c r="X89" s="39"/>
      <c r="Y89"/>
      <c r="Z89"/>
      <c r="AA89"/>
    </row>
    <row r="90" spans="2:27" x14ac:dyDescent="0.25">
      <c r="B90" s="309"/>
      <c r="C90" s="309"/>
      <c r="D90" s="309"/>
      <c r="E90" s="309"/>
      <c r="F90" s="309"/>
      <c r="G90" s="309"/>
      <c r="H90" s="309"/>
      <c r="I90" s="309"/>
      <c r="J90" s="309"/>
      <c r="K90" s="309"/>
      <c r="L90" s="309"/>
      <c r="M90" s="39"/>
      <c r="N90" s="39"/>
      <c r="O90" s="39"/>
      <c r="P90" s="39"/>
      <c r="Q90" s="39"/>
      <c r="R90" s="39"/>
      <c r="S90" s="39"/>
      <c r="T90" s="39"/>
      <c r="U90" s="39"/>
      <c r="V90" s="39"/>
      <c r="W90" s="39"/>
      <c r="X90" s="39"/>
      <c r="Y90"/>
      <c r="Z90"/>
      <c r="AA90"/>
    </row>
    <row r="91" spans="2:27" x14ac:dyDescent="0.25">
      <c r="B91" s="309"/>
      <c r="C91" s="309"/>
      <c r="D91" s="309"/>
      <c r="E91" s="309"/>
      <c r="F91" s="309"/>
      <c r="G91" s="309"/>
      <c r="H91" s="309"/>
      <c r="I91" s="309"/>
      <c r="J91" s="309"/>
      <c r="K91" s="309"/>
      <c r="L91" s="309"/>
      <c r="M91" s="39"/>
      <c r="N91" s="39"/>
      <c r="O91" s="39"/>
      <c r="P91" s="39"/>
      <c r="Q91" s="39"/>
      <c r="R91" s="39"/>
      <c r="S91" s="39"/>
      <c r="T91" s="39"/>
      <c r="U91" s="39"/>
      <c r="V91" s="39"/>
      <c r="W91" s="39"/>
      <c r="X91" s="39"/>
      <c r="Y91"/>
      <c r="Z91"/>
      <c r="AA91"/>
    </row>
    <row r="92" spans="2:27" x14ac:dyDescent="0.25">
      <c r="B92" s="309"/>
      <c r="C92" s="309"/>
      <c r="D92" s="309"/>
      <c r="E92" s="309"/>
      <c r="F92" s="309"/>
      <c r="G92" s="309"/>
      <c r="H92" s="309"/>
      <c r="I92" s="309"/>
      <c r="J92" s="309"/>
      <c r="K92" s="309"/>
      <c r="L92" s="309"/>
      <c r="M92" s="39"/>
      <c r="N92" s="39"/>
      <c r="O92" s="39"/>
      <c r="P92" s="39"/>
      <c r="Q92" s="39"/>
      <c r="R92" s="39"/>
      <c r="S92" s="39"/>
      <c r="T92" s="39"/>
      <c r="U92" s="39"/>
      <c r="V92" s="39"/>
      <c r="W92" s="39"/>
      <c r="X92" s="39"/>
      <c r="Y92"/>
      <c r="Z92"/>
      <c r="AA92"/>
    </row>
    <row r="93" spans="2:27" x14ac:dyDescent="0.25">
      <c r="B93" s="309"/>
      <c r="C93" s="309"/>
      <c r="D93" s="309"/>
      <c r="E93" s="309"/>
      <c r="F93" s="309"/>
      <c r="G93" s="309"/>
      <c r="H93" s="309"/>
      <c r="I93" s="309"/>
      <c r="J93" s="309"/>
      <c r="K93" s="309"/>
      <c r="L93" s="309"/>
      <c r="M93" s="39"/>
      <c r="N93" s="39"/>
      <c r="O93" s="39"/>
      <c r="P93" s="39"/>
      <c r="Q93" s="39"/>
      <c r="R93" s="39"/>
      <c r="S93" s="39"/>
      <c r="T93" s="39"/>
      <c r="U93" s="39"/>
      <c r="V93" s="39"/>
      <c r="W93" s="39"/>
      <c r="X93" s="39"/>
      <c r="Y93"/>
      <c r="Z93"/>
      <c r="AA93"/>
    </row>
    <row r="94" spans="2:27" x14ac:dyDescent="0.25">
      <c r="B94" s="309"/>
      <c r="C94" s="309"/>
      <c r="D94" s="309"/>
      <c r="E94" s="309"/>
      <c r="F94" s="309"/>
      <c r="G94" s="309"/>
      <c r="H94" s="309"/>
      <c r="I94" s="309"/>
      <c r="J94" s="309"/>
      <c r="K94" s="309"/>
      <c r="L94" s="309"/>
      <c r="M94" s="39"/>
      <c r="N94" s="39"/>
      <c r="O94" s="39"/>
      <c r="P94" s="39"/>
      <c r="Q94" s="39"/>
      <c r="R94" s="39"/>
      <c r="S94" s="39"/>
      <c r="T94" s="39"/>
      <c r="U94" s="39"/>
      <c r="V94" s="39"/>
      <c r="W94" s="39"/>
      <c r="X94" s="39"/>
      <c r="Y94"/>
      <c r="Z94"/>
      <c r="AA94"/>
    </row>
    <row r="95" spans="2:27" x14ac:dyDescent="0.25">
      <c r="B95" s="309"/>
      <c r="C95" s="309"/>
      <c r="D95" s="309"/>
      <c r="E95" s="309"/>
      <c r="F95" s="309"/>
      <c r="G95" s="309"/>
      <c r="H95" s="309"/>
      <c r="I95" s="309"/>
      <c r="J95" s="309"/>
      <c r="K95" s="309"/>
      <c r="L95" s="309"/>
      <c r="M95" s="39"/>
      <c r="N95" s="39"/>
      <c r="O95" s="39"/>
      <c r="P95" s="39"/>
      <c r="Q95" s="39"/>
      <c r="R95" s="39"/>
      <c r="S95" s="39"/>
      <c r="T95" s="39"/>
      <c r="U95" s="39"/>
      <c r="V95" s="39"/>
      <c r="W95" s="39"/>
      <c r="X95" s="39"/>
      <c r="Y95"/>
      <c r="Z95"/>
      <c r="AA95"/>
    </row>
    <row r="96" spans="2:27" x14ac:dyDescent="0.25">
      <c r="B96" s="309"/>
      <c r="C96" s="309"/>
      <c r="D96" s="309"/>
      <c r="E96" s="309"/>
      <c r="F96" s="309"/>
      <c r="G96" s="309"/>
      <c r="H96" s="309"/>
      <c r="I96" s="309"/>
      <c r="J96" s="309"/>
      <c r="K96" s="309"/>
      <c r="L96" s="309"/>
      <c r="M96" s="39"/>
      <c r="N96" s="39"/>
      <c r="O96" s="39"/>
      <c r="P96" s="39"/>
      <c r="Q96" s="39"/>
      <c r="R96" s="39"/>
      <c r="S96" s="39"/>
      <c r="T96" s="39"/>
      <c r="U96" s="39"/>
      <c r="V96" s="39"/>
      <c r="W96" s="39"/>
      <c r="X96" s="39"/>
      <c r="Y96"/>
      <c r="Z96"/>
      <c r="AA96"/>
    </row>
    <row r="97" spans="2:27" x14ac:dyDescent="0.25">
      <c r="B97" s="309"/>
      <c r="C97" s="309"/>
      <c r="D97" s="309"/>
      <c r="E97" s="309"/>
      <c r="F97" s="309"/>
      <c r="G97" s="309"/>
      <c r="H97" s="309"/>
      <c r="I97" s="309"/>
      <c r="J97" s="309"/>
      <c r="K97" s="309"/>
      <c r="L97" s="309"/>
      <c r="M97" s="39"/>
      <c r="N97" s="39"/>
      <c r="O97" s="39"/>
      <c r="P97" s="39"/>
      <c r="Q97" s="39"/>
      <c r="R97" s="39"/>
      <c r="S97" s="39"/>
      <c r="T97" s="39"/>
      <c r="U97" s="39"/>
      <c r="V97" s="39"/>
      <c r="W97" s="39"/>
      <c r="X97" s="39"/>
      <c r="Y97"/>
      <c r="Z97"/>
      <c r="AA97"/>
    </row>
    <row r="98" spans="2:27" x14ac:dyDescent="0.25">
      <c r="B98" s="309"/>
      <c r="C98" s="309"/>
      <c r="D98" s="309"/>
      <c r="E98" s="309"/>
      <c r="F98" s="309"/>
      <c r="G98" s="309"/>
      <c r="H98" s="309"/>
      <c r="I98" s="309"/>
      <c r="J98" s="309"/>
      <c r="K98" s="309"/>
      <c r="L98" s="309"/>
      <c r="M98" s="39"/>
      <c r="N98" s="39"/>
      <c r="O98" s="39"/>
      <c r="P98" s="39"/>
      <c r="Q98" s="39"/>
      <c r="R98" s="39"/>
      <c r="S98" s="39"/>
      <c r="T98" s="39"/>
      <c r="U98" s="39"/>
      <c r="V98" s="39"/>
      <c r="W98" s="39"/>
      <c r="X98" s="39"/>
      <c r="Y98"/>
      <c r="Z98"/>
      <c r="AA98"/>
    </row>
    <row r="99" spans="2:27" x14ac:dyDescent="0.25">
      <c r="B99" s="309"/>
      <c r="C99" s="309"/>
      <c r="D99" s="309"/>
      <c r="E99" s="309"/>
      <c r="F99" s="309"/>
      <c r="G99" s="309"/>
      <c r="H99" s="309"/>
      <c r="I99" s="309"/>
      <c r="J99" s="309"/>
      <c r="K99" s="309"/>
      <c r="L99" s="309"/>
      <c r="M99" s="39"/>
      <c r="N99" s="39"/>
      <c r="O99" s="39"/>
      <c r="P99" s="39"/>
      <c r="Q99" s="39"/>
      <c r="R99" s="39"/>
      <c r="S99" s="39"/>
      <c r="T99" s="39"/>
      <c r="U99" s="39"/>
      <c r="V99" s="39"/>
      <c r="W99" s="39"/>
      <c r="X99" s="39"/>
      <c r="Y99"/>
      <c r="Z99"/>
      <c r="AA99"/>
    </row>
    <row r="100" spans="2:27" x14ac:dyDescent="0.25">
      <c r="B100" s="309"/>
      <c r="C100" s="309"/>
      <c r="D100" s="309"/>
      <c r="E100" s="309"/>
      <c r="F100" s="309"/>
      <c r="G100" s="309"/>
      <c r="H100" s="309"/>
      <c r="I100" s="309"/>
      <c r="J100" s="309"/>
      <c r="K100" s="309"/>
      <c r="L100" s="309"/>
      <c r="M100" s="39"/>
      <c r="N100" s="39"/>
      <c r="O100" s="39"/>
      <c r="P100" s="39"/>
      <c r="Q100" s="39"/>
      <c r="R100" s="39"/>
      <c r="S100" s="39"/>
      <c r="T100" s="39"/>
      <c r="U100" s="39"/>
      <c r="V100" s="39"/>
      <c r="W100" s="39"/>
      <c r="X100" s="39"/>
      <c r="Y100"/>
      <c r="Z100"/>
      <c r="AA100"/>
    </row>
    <row r="101" spans="2:27" x14ac:dyDescent="0.25">
      <c r="B101" s="309"/>
      <c r="C101" s="309"/>
      <c r="D101" s="309"/>
      <c r="E101" s="309"/>
      <c r="F101" s="309"/>
      <c r="G101" s="309"/>
      <c r="H101" s="309"/>
      <c r="I101" s="309"/>
      <c r="J101" s="309"/>
      <c r="K101" s="309"/>
      <c r="L101" s="309"/>
      <c r="M101" s="39"/>
      <c r="N101" s="39"/>
      <c r="O101" s="39"/>
      <c r="P101" s="39"/>
      <c r="Q101" s="39"/>
      <c r="R101" s="39"/>
      <c r="S101" s="39"/>
      <c r="T101" s="39"/>
      <c r="U101" s="39"/>
      <c r="V101" s="39"/>
      <c r="W101" s="39"/>
      <c r="X101" s="39"/>
      <c r="Y101"/>
      <c r="Z101"/>
      <c r="AA101"/>
    </row>
    <row r="102" spans="2:27" x14ac:dyDescent="0.25">
      <c r="B102" s="309"/>
      <c r="C102" s="309"/>
      <c r="D102" s="309"/>
      <c r="E102" s="309"/>
      <c r="F102" s="309"/>
      <c r="G102" s="309"/>
      <c r="H102" s="309"/>
      <c r="I102" s="309"/>
      <c r="J102" s="309"/>
      <c r="K102" s="309"/>
      <c r="L102" s="309"/>
      <c r="M102" s="39"/>
      <c r="N102" s="39"/>
      <c r="O102" s="39"/>
      <c r="P102" s="39"/>
      <c r="Q102" s="39"/>
      <c r="R102" s="39"/>
      <c r="S102" s="39"/>
      <c r="T102" s="39"/>
      <c r="U102" s="39"/>
      <c r="V102" s="39"/>
      <c r="W102" s="39"/>
      <c r="X102" s="39"/>
      <c r="Y102"/>
      <c r="Z102"/>
      <c r="AA102"/>
    </row>
    <row r="103" spans="2:27" x14ac:dyDescent="0.25">
      <c r="B103" s="309"/>
      <c r="C103" s="309"/>
      <c r="D103" s="309"/>
      <c r="E103" s="309"/>
      <c r="F103" s="309"/>
      <c r="G103" s="309"/>
      <c r="H103" s="309"/>
      <c r="I103" s="309"/>
      <c r="J103" s="309"/>
      <c r="K103" s="309"/>
      <c r="L103" s="309"/>
      <c r="M103" s="39"/>
      <c r="N103" s="39"/>
      <c r="O103" s="39"/>
      <c r="P103" s="39"/>
      <c r="Q103" s="39"/>
      <c r="R103" s="39"/>
      <c r="S103" s="39"/>
      <c r="T103" s="39"/>
      <c r="U103" s="39"/>
      <c r="V103" s="39"/>
      <c r="W103" s="39"/>
      <c r="X103" s="39"/>
      <c r="Y103"/>
      <c r="Z103"/>
      <c r="AA103"/>
    </row>
    <row r="104" spans="2:27" x14ac:dyDescent="0.25">
      <c r="B104" s="309"/>
      <c r="C104" s="309"/>
      <c r="D104" s="309"/>
      <c r="E104" s="309"/>
      <c r="F104" s="309"/>
      <c r="G104" s="309"/>
      <c r="H104" s="309"/>
      <c r="I104" s="309"/>
      <c r="J104" s="309"/>
      <c r="K104" s="309"/>
      <c r="L104" s="309"/>
      <c r="M104" s="39"/>
      <c r="N104" s="39"/>
      <c r="O104" s="39"/>
      <c r="P104" s="39"/>
      <c r="Q104" s="39"/>
      <c r="R104" s="39"/>
      <c r="S104" s="39"/>
      <c r="T104" s="39"/>
      <c r="U104" s="39"/>
      <c r="V104" s="39"/>
      <c r="W104" s="39"/>
      <c r="X104" s="39"/>
      <c r="Y104"/>
      <c r="Z104"/>
      <c r="AA104"/>
    </row>
    <row r="105" spans="2:27" x14ac:dyDescent="0.25">
      <c r="B105" s="309"/>
      <c r="C105" s="309"/>
      <c r="D105" s="309"/>
      <c r="E105" s="309"/>
      <c r="F105" s="309"/>
      <c r="G105" s="309"/>
      <c r="H105" s="309"/>
      <c r="I105" s="309"/>
      <c r="J105" s="309"/>
      <c r="K105" s="309"/>
      <c r="L105" s="309"/>
      <c r="M105" s="39"/>
      <c r="N105" s="39"/>
      <c r="O105" s="39"/>
      <c r="P105" s="39"/>
      <c r="Q105" s="39"/>
      <c r="R105" s="39"/>
      <c r="S105" s="39"/>
      <c r="T105" s="39"/>
      <c r="U105" s="39"/>
      <c r="V105" s="39"/>
      <c r="W105" s="39"/>
      <c r="X105" s="39"/>
      <c r="Y105"/>
      <c r="Z105"/>
      <c r="AA105"/>
    </row>
    <row r="106" spans="2:27" x14ac:dyDescent="0.25">
      <c r="B106" s="309"/>
      <c r="C106" s="309"/>
      <c r="D106" s="309"/>
      <c r="E106" s="309"/>
      <c r="F106" s="309"/>
      <c r="G106" s="309"/>
      <c r="H106" s="309"/>
      <c r="I106" s="309"/>
      <c r="J106" s="309"/>
      <c r="K106" s="309"/>
      <c r="L106" s="309"/>
      <c r="M106" s="39"/>
      <c r="N106" s="39"/>
      <c r="O106" s="39"/>
      <c r="P106" s="39"/>
      <c r="Q106" s="39"/>
      <c r="R106" s="39"/>
      <c r="S106" s="39"/>
      <c r="T106" s="39"/>
      <c r="U106" s="39"/>
      <c r="V106" s="39"/>
      <c r="W106" s="39"/>
      <c r="X106" s="39"/>
      <c r="Y106"/>
      <c r="Z106"/>
      <c r="AA106"/>
    </row>
    <row r="107" spans="2:27" x14ac:dyDescent="0.25">
      <c r="B107" s="309"/>
      <c r="C107" s="309"/>
      <c r="D107" s="309"/>
      <c r="E107" s="309"/>
      <c r="F107" s="309"/>
      <c r="G107" s="309"/>
      <c r="H107" s="309"/>
      <c r="I107" s="309"/>
      <c r="J107" s="309"/>
      <c r="K107" s="309"/>
      <c r="L107" s="309"/>
      <c r="M107" s="39"/>
      <c r="N107" s="39"/>
      <c r="O107" s="39"/>
      <c r="P107" s="39"/>
      <c r="Q107" s="39"/>
      <c r="R107" s="39"/>
      <c r="S107" s="39"/>
      <c r="T107" s="39"/>
      <c r="U107" s="39"/>
      <c r="V107" s="39"/>
      <c r="W107" s="39"/>
      <c r="X107" s="39"/>
      <c r="Y107"/>
      <c r="Z107"/>
      <c r="AA107"/>
    </row>
    <row r="108" spans="2:27" x14ac:dyDescent="0.25">
      <c r="B108" s="309"/>
      <c r="C108" s="309"/>
      <c r="D108" s="309"/>
      <c r="E108" s="309"/>
      <c r="F108" s="309"/>
      <c r="G108" s="309"/>
      <c r="H108" s="309"/>
      <c r="I108" s="309"/>
      <c r="J108" s="309"/>
      <c r="K108" s="309"/>
      <c r="L108" s="309"/>
      <c r="M108" s="39"/>
      <c r="N108" s="39"/>
      <c r="O108" s="39"/>
      <c r="P108" s="39"/>
      <c r="Q108" s="39"/>
      <c r="R108" s="39"/>
      <c r="S108" s="39"/>
      <c r="T108" s="39"/>
      <c r="U108" s="39"/>
      <c r="V108" s="39"/>
      <c r="W108" s="39"/>
      <c r="X108" s="39"/>
      <c r="Y108"/>
      <c r="Z108"/>
      <c r="AA108"/>
    </row>
  </sheetData>
  <sheetProtection algorithmName="SHA-512" hashValue="IdcPAU6tlJCQZzapNerWTWZGV89AR0jc8P8naMnyz/tWOdeERkQ2Xut8JLCRcE0HWXmW5TBFE4r7yShuE6f8qQ==" saltValue="E3TdUn/ybxizSyuQD3b/nA==" spinCount="100000" sheet="1" objects="1" scenarios="1"/>
  <pageMargins left="0.75" right="0.75" top="1" bottom="1" header="0.5" footer="0.5"/>
  <pageSetup scale="24" orientation="landscape" horizontalDpi="4294967292" verticalDpi="4294967292"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AA131"/>
  <sheetViews>
    <sheetView tabSelected="1" topLeftCell="A86" zoomScale="70" zoomScaleNormal="70" zoomScalePageLayoutView="75" workbookViewId="0">
      <selection activeCell="B2" sqref="B2:E2"/>
    </sheetView>
  </sheetViews>
  <sheetFormatPr defaultColWidth="11" defaultRowHeight="15" customHeight="1" x14ac:dyDescent="0.25"/>
  <cols>
    <col min="1" max="1" width="37.875" style="1" customWidth="1"/>
    <col min="2" max="2" width="16" customWidth="1"/>
    <col min="3" max="3" width="15.875" customWidth="1"/>
    <col min="4" max="4" width="23.125" customWidth="1"/>
    <col min="5" max="5" width="15.625" customWidth="1"/>
    <col min="6" max="15" width="5.875" customWidth="1"/>
    <col min="16" max="16" width="5.875" hidden="1" customWidth="1"/>
    <col min="17" max="17" width="6" hidden="1" customWidth="1"/>
    <col min="18" max="18" width="5.875" hidden="1" customWidth="1"/>
    <col min="19" max="20" width="6" hidden="1" customWidth="1"/>
    <col min="21" max="22" width="5.875" hidden="1" customWidth="1"/>
    <col min="23" max="23" width="6" hidden="1" customWidth="1"/>
    <col min="24" max="24" width="5.875" hidden="1" customWidth="1"/>
    <col min="25" max="25" width="6" hidden="1" customWidth="1"/>
    <col min="26" max="26" width="15.625" customWidth="1"/>
    <col min="27" max="27" width="53.75" customWidth="1"/>
  </cols>
  <sheetData>
    <row r="1" spans="1:27" ht="15" customHeight="1" x14ac:dyDescent="0.25">
      <c r="A1" s="124" t="s">
        <v>248</v>
      </c>
    </row>
    <row r="2" spans="1:27" ht="15" customHeight="1" x14ac:dyDescent="0.25">
      <c r="A2" s="112" t="s">
        <v>0</v>
      </c>
      <c r="B2" s="414"/>
      <c r="C2" s="414"/>
      <c r="D2" s="414"/>
      <c r="E2" s="414"/>
      <c r="F2" s="5"/>
      <c r="G2" s="5"/>
      <c r="H2" s="5"/>
      <c r="I2" s="5"/>
    </row>
    <row r="3" spans="1:27" ht="15" customHeight="1" x14ac:dyDescent="0.25">
      <c r="A3" s="112" t="s">
        <v>1</v>
      </c>
      <c r="B3" s="367"/>
      <c r="C3" s="367"/>
      <c r="D3" s="367"/>
      <c r="E3" s="367"/>
      <c r="F3" s="5"/>
      <c r="G3" s="5"/>
      <c r="H3" s="5"/>
      <c r="I3" s="5"/>
    </row>
    <row r="4" spans="1:27" ht="15" customHeight="1" x14ac:dyDescent="0.25">
      <c r="A4" s="112" t="s">
        <v>2</v>
      </c>
      <c r="B4" s="415"/>
      <c r="C4" s="416"/>
      <c r="D4" s="416"/>
      <c r="E4" s="417"/>
      <c r="F4" s="5"/>
      <c r="G4" s="5"/>
      <c r="H4" s="5"/>
      <c r="I4" s="5"/>
    </row>
    <row r="6" spans="1:27" ht="15" customHeight="1" x14ac:dyDescent="0.25">
      <c r="A6" s="112" t="s">
        <v>4</v>
      </c>
      <c r="B6" s="146"/>
      <c r="C6" s="112" t="s">
        <v>5</v>
      </c>
      <c r="D6" s="146"/>
      <c r="E6" s="147"/>
    </row>
    <row r="8" spans="1:27" ht="15" customHeight="1" x14ac:dyDescent="0.25">
      <c r="A8" s="112" t="s">
        <v>6</v>
      </c>
      <c r="B8" s="145">
        <v>5</v>
      </c>
      <c r="C8" s="113"/>
      <c r="D8" s="59"/>
    </row>
    <row r="9" spans="1:27" ht="15" customHeight="1" x14ac:dyDescent="0.25">
      <c r="A9" s="112" t="s">
        <v>243</v>
      </c>
      <c r="B9" s="145" t="s">
        <v>232</v>
      </c>
      <c r="C9" s="114" t="s">
        <v>428</v>
      </c>
      <c r="D9" s="146" t="s">
        <v>429</v>
      </c>
      <c r="E9" s="1"/>
    </row>
    <row r="10" spans="1:27" ht="15" customHeight="1" x14ac:dyDescent="0.25">
      <c r="A10" s="112" t="s">
        <v>7</v>
      </c>
      <c r="B10" s="326" t="str">
        <f>IF(B9="On-Campus",54%,(IF(B9="Off-Campus", 26%," ")))</f>
        <v xml:space="preserve"> </v>
      </c>
      <c r="C10" s="114" t="s">
        <v>8</v>
      </c>
      <c r="D10" s="327" t="s">
        <v>232</v>
      </c>
    </row>
    <row r="11" spans="1:27" ht="15" customHeight="1" x14ac:dyDescent="0.25">
      <c r="E11" s="5"/>
    </row>
    <row r="12" spans="1:27" ht="15" customHeight="1" x14ac:dyDescent="0.25">
      <c r="A12" s="112" t="s">
        <v>279</v>
      </c>
      <c r="B12" s="415"/>
      <c r="C12" s="416"/>
      <c r="D12" s="417"/>
      <c r="H12" s="5"/>
      <c r="I12" s="5"/>
    </row>
    <row r="13" spans="1:27" ht="15" customHeight="1" x14ac:dyDescent="0.25">
      <c r="A13" s="112" t="s">
        <v>3</v>
      </c>
      <c r="B13" s="415"/>
      <c r="C13" s="416"/>
      <c r="D13" s="417"/>
    </row>
    <row r="14" spans="1:27" ht="15" customHeight="1" x14ac:dyDescent="0.25">
      <c r="A14" s="112" t="s">
        <v>9</v>
      </c>
      <c r="B14" s="164"/>
      <c r="C14" s="148" t="s">
        <v>280</v>
      </c>
      <c r="D14" s="165"/>
    </row>
    <row r="15" spans="1:27" ht="15" customHeight="1" thickBot="1" x14ac:dyDescent="0.3"/>
    <row r="16" spans="1:27" ht="15" customHeight="1" x14ac:dyDescent="0.25">
      <c r="A16" s="418" t="s">
        <v>446</v>
      </c>
      <c r="B16" s="418"/>
      <c r="C16" s="418"/>
      <c r="D16" s="418"/>
      <c r="F16" s="419" t="s">
        <v>10</v>
      </c>
      <c r="G16" s="419"/>
      <c r="H16" s="419"/>
      <c r="I16" s="419"/>
      <c r="J16" s="419"/>
      <c r="K16" s="419"/>
      <c r="L16" s="419"/>
      <c r="M16" s="419"/>
      <c r="N16" s="419"/>
      <c r="O16" s="419"/>
      <c r="P16" s="419"/>
      <c r="Q16" s="419"/>
      <c r="R16" s="419"/>
      <c r="S16" s="419"/>
      <c r="T16" s="419"/>
      <c r="U16" s="419"/>
      <c r="V16" s="419"/>
      <c r="W16" s="419"/>
      <c r="X16" s="419"/>
      <c r="Y16" s="419"/>
      <c r="Z16" s="424" t="s">
        <v>28</v>
      </c>
      <c r="AA16" s="348" t="s">
        <v>447</v>
      </c>
    </row>
    <row r="17" spans="1:27" ht="15" customHeight="1" x14ac:dyDescent="0.25">
      <c r="A17" s="418"/>
      <c r="B17" s="418"/>
      <c r="C17" s="418"/>
      <c r="D17" s="418"/>
      <c r="F17" s="369">
        <v>1</v>
      </c>
      <c r="G17" s="369"/>
      <c r="H17" s="369">
        <v>2</v>
      </c>
      <c r="I17" s="369"/>
      <c r="J17" s="369">
        <v>3</v>
      </c>
      <c r="K17" s="369"/>
      <c r="L17" s="369">
        <v>4</v>
      </c>
      <c r="M17" s="369"/>
      <c r="N17" s="369">
        <v>5</v>
      </c>
      <c r="O17" s="369"/>
      <c r="P17" s="369">
        <v>6</v>
      </c>
      <c r="Q17" s="369"/>
      <c r="R17" s="369">
        <v>7</v>
      </c>
      <c r="S17" s="369"/>
      <c r="T17" s="369">
        <v>8</v>
      </c>
      <c r="U17" s="369"/>
      <c r="V17" s="369">
        <v>9</v>
      </c>
      <c r="W17" s="369"/>
      <c r="X17" s="369">
        <v>10</v>
      </c>
      <c r="Y17" s="369"/>
      <c r="Z17" s="425"/>
      <c r="AA17" s="349"/>
    </row>
    <row r="18" spans="1:27" ht="15" customHeight="1" x14ac:dyDescent="0.25">
      <c r="A18" s="418"/>
      <c r="B18" s="418"/>
      <c r="C18" s="418"/>
      <c r="D18" s="418"/>
      <c r="E18" s="159" t="s">
        <v>134</v>
      </c>
      <c r="F18" s="409"/>
      <c r="G18" s="410"/>
      <c r="H18" s="409"/>
      <c r="I18" s="410"/>
      <c r="J18" s="409"/>
      <c r="K18" s="410"/>
      <c r="L18" s="409"/>
      <c r="M18" s="410"/>
      <c r="N18" s="409"/>
      <c r="O18" s="410"/>
      <c r="P18" s="409"/>
      <c r="Q18" s="410"/>
      <c r="R18" s="409"/>
      <c r="S18" s="410"/>
      <c r="T18" s="409"/>
      <c r="U18" s="410"/>
      <c r="V18" s="409"/>
      <c r="W18" s="410"/>
      <c r="X18" s="409"/>
      <c r="Y18" s="410"/>
      <c r="Z18" s="425"/>
      <c r="AA18" s="349"/>
    </row>
    <row r="19" spans="1:27" ht="15" customHeight="1" x14ac:dyDescent="0.25">
      <c r="E19" s="159" t="s">
        <v>133</v>
      </c>
      <c r="F19" s="409"/>
      <c r="G19" s="410"/>
      <c r="H19" s="409"/>
      <c r="I19" s="410"/>
      <c r="J19" s="409"/>
      <c r="K19" s="410"/>
      <c r="L19" s="409"/>
      <c r="M19" s="410"/>
      <c r="N19" s="409"/>
      <c r="O19" s="410"/>
      <c r="P19" s="409"/>
      <c r="Q19" s="410"/>
      <c r="R19" s="409"/>
      <c r="S19" s="410"/>
      <c r="T19" s="409"/>
      <c r="U19" s="410"/>
      <c r="V19" s="409"/>
      <c r="W19" s="410"/>
      <c r="X19" s="409"/>
      <c r="Y19" s="410"/>
      <c r="Z19" s="426"/>
      <c r="AA19" s="350"/>
    </row>
    <row r="20" spans="1:27" ht="15" customHeight="1" x14ac:dyDescent="0.25">
      <c r="A20" s="420" t="s">
        <v>244</v>
      </c>
      <c r="B20" s="421"/>
      <c r="C20" s="422" t="s">
        <v>135</v>
      </c>
      <c r="D20" s="422"/>
      <c r="E20" s="423"/>
      <c r="F20" s="20"/>
      <c r="G20" s="21"/>
      <c r="H20" s="21"/>
      <c r="I20" s="21"/>
      <c r="J20" s="21"/>
      <c r="K20" s="21"/>
      <c r="L20" s="21"/>
      <c r="M20" s="21"/>
      <c r="N20" s="21"/>
      <c r="O20" s="21"/>
      <c r="P20" s="21"/>
      <c r="Q20" s="21"/>
      <c r="R20" s="21"/>
      <c r="S20" s="21"/>
      <c r="T20" s="21"/>
      <c r="U20" s="21"/>
      <c r="V20" s="21"/>
      <c r="W20" s="21"/>
      <c r="X20" s="21"/>
      <c r="Y20" s="21"/>
      <c r="Z20" s="427"/>
      <c r="AA20" s="351"/>
    </row>
    <row r="21" spans="1:27" ht="15" customHeight="1" x14ac:dyDescent="0.25">
      <c r="A21" s="153" t="s">
        <v>11</v>
      </c>
      <c r="B21" s="378" t="s">
        <v>342</v>
      </c>
      <c r="C21" s="378"/>
      <c r="D21" s="153" t="s">
        <v>12</v>
      </c>
      <c r="E21" s="186" t="s">
        <v>13</v>
      </c>
      <c r="F21" s="12"/>
      <c r="G21" s="13"/>
      <c r="H21" s="13"/>
      <c r="I21" s="13"/>
      <c r="J21" s="13"/>
      <c r="K21" s="13"/>
      <c r="L21" s="13"/>
      <c r="M21" s="13"/>
      <c r="N21" s="13"/>
      <c r="O21" s="13"/>
      <c r="P21" s="13"/>
      <c r="Q21" s="13"/>
      <c r="R21" s="13"/>
      <c r="S21" s="13"/>
      <c r="T21" s="13"/>
      <c r="U21" s="13"/>
      <c r="V21" s="13"/>
      <c r="W21" s="13"/>
      <c r="X21" s="13"/>
      <c r="Y21" s="13"/>
      <c r="Z21" s="428"/>
      <c r="AA21" s="352"/>
    </row>
    <row r="22" spans="1:27" ht="15" customHeight="1" x14ac:dyDescent="0.25">
      <c r="A22" s="152"/>
      <c r="B22" s="368"/>
      <c r="C22" s="368"/>
      <c r="D22" s="152" t="s">
        <v>232</v>
      </c>
      <c r="E22" s="152" t="s">
        <v>232</v>
      </c>
      <c r="F22" s="402" t="str">
        <f ca="1">IFERROR(ROUND(IF(OFFSET('Salary &amp; Fringe'!H2,2,0)&gt;0,IF(ISNUMBER(SEARCH("Hourly",OFFSET('Salary &amp; Fringe'!F2,2,0))),OFFSET('Salary &amp; Fringe'!H2,2,0)*Budget!F23*Budget!G23*174*OFFSET('Salary &amp; Fringe'!I2,2,0)*(1+C23)^0*(1+B23),OFFSET('Salary &amp; Fringe'!H2,2,0)*Budget!F23*Budget!G23*OFFSET('Salary &amp; Fringe'!I2,2,0)*(1+C23)^0*(1+B23)),IF(ISNUMBER(SEARCH("Hourly",OFFSET('Salary &amp; Fringe'!F2,2,0))),OFFSET('Salary &amp; Fringe'!G2,2,0)*Budget!F23*Budget!G23*174*OFFSET('Salary &amp; Fringe'!I2,2,0)*(1+C23)^0*(1+B23),OFFSET('Salary &amp; Fringe'!G2,2,0)*Budget!F23*Budget!G23*OFFSET('Salary &amp; Fringe'!I2,2,0)*(1+C23)^0*(1+B23))),0),"")</f>
        <v/>
      </c>
      <c r="G22" s="402"/>
      <c r="H22" s="402" t="str">
        <f ca="1">IFERROR(ROUND(IF(OFFSET('Salary &amp; Fringe'!H2,2,0)&gt;0,IF(ISNUMBER(SEARCH("Hourly",OFFSET('Salary &amp; Fringe'!F2,2,0))),OFFSET('Salary &amp; Fringe'!H2,2,0)*Budget!H23*Budget!I23*174*OFFSET('Salary &amp; Fringe'!I2,2,0)*(1+C23)^1*(1+B23),OFFSET('Salary &amp; Fringe'!H2,2,0)*Budget!H23*Budget!I23*OFFSET('Salary &amp; Fringe'!I2,2,0)*(1+C23)^1*(1+B23)),IF(ISNUMBER(SEARCH("Hourly",OFFSET('Salary &amp; Fringe'!F2,2,0))),OFFSET('Salary &amp; Fringe'!G2,2,0)*Budget!H23*Budget!I23*174*OFFSET('Salary &amp; Fringe'!I2,2,0)*(1+C23)^1*(1+B23),OFFSET('Salary &amp; Fringe'!G2,2,0)*Budget!H23*Budget!I23*OFFSET('Salary &amp; Fringe'!I2,2,0)*(1+C23)^1*(1+B23))),0),"")</f>
        <v/>
      </c>
      <c r="I22" s="402"/>
      <c r="J22" s="402" t="str">
        <f ca="1">IFERROR(ROUND(IF(OFFSET('Salary &amp; Fringe'!H2,2,0)&gt;0,IF(ISNUMBER(SEARCH("Hourly",OFFSET('Salary &amp; Fringe'!F2,2,0))),OFFSET('Salary &amp; Fringe'!H2,2,0)*Budget!J23*Budget!K23*174*OFFSET('Salary &amp; Fringe'!I2,2,0)*(1+C23)^2*(1+B23),OFFSET('Salary &amp; Fringe'!H2,2,0)*Budget!J23*Budget!K23*OFFSET('Salary &amp; Fringe'!I2,2,0)*(1+C23)^2*(1+B23)),IF(ISNUMBER(SEARCH("Hourly",OFFSET('Salary &amp; Fringe'!F2,2,0))),OFFSET('Salary &amp; Fringe'!G2,2,0)*Budget!J23*Budget!K23*174*OFFSET('Salary &amp; Fringe'!I2,2,0)*(1+C23)^2*(1+B23),OFFSET('Salary &amp; Fringe'!G2,2,0)*Budget!J23*Budget!K23*OFFSET('Salary &amp; Fringe'!I2,2,0)*(1+C23)^2*(1+B23))),0),"")</f>
        <v/>
      </c>
      <c r="K22" s="402"/>
      <c r="L22" s="402" t="str">
        <f ca="1">IFERROR(ROUND(IF(OFFSET('Salary &amp; Fringe'!H2,2,0)&gt;0,IF(ISNUMBER(SEARCH("Hourly",OFFSET('Salary &amp; Fringe'!F2,2,0))),OFFSET('Salary &amp; Fringe'!H2,2,0)*Budget!L23*Budget!M23*174*OFFSET('Salary &amp; Fringe'!I2,2,0)*(1+C23)^3*(1+B23),OFFSET('Salary &amp; Fringe'!H2,2,0)*Budget!L23*Budget!M23*OFFSET('Salary &amp; Fringe'!I2,2,0)*(1+C23)^3*(1+B23)),IF(ISNUMBER(SEARCH("Hourly",OFFSET('Salary &amp; Fringe'!F2,2,0))),OFFSET('Salary &amp; Fringe'!G2,2,0)*Budget!L23*Budget!M23*174*OFFSET('Salary &amp; Fringe'!I2,2,0)*(1+C23)^3*(1+B23),OFFSET('Salary &amp; Fringe'!G2,2,0)*Budget!L23*Budget!M23*OFFSET('Salary &amp; Fringe'!I2,2,0)*(1+C23)^3*(1+B23))),0),"")</f>
        <v/>
      </c>
      <c r="M22" s="402"/>
      <c r="N22" s="402" t="str">
        <f ca="1">IFERROR(ROUND(IF(OFFSET('Salary &amp; Fringe'!H2,2,0)&gt;0,IF(ISNUMBER(SEARCH("Hourly",OFFSET('Salary &amp; Fringe'!F2,2,0))),OFFSET('Salary &amp; Fringe'!H2,2,0)*Budget!N23*Budget!O23*174*OFFSET('Salary &amp; Fringe'!I2,2,0)*(1+C23)^4*(1+B23),OFFSET('Salary &amp; Fringe'!H2,2,0)*Budget!N23*Budget!O23*OFFSET('Salary &amp; Fringe'!I2,2,0)*(1+C23)^4*(1+B23)),IF(ISNUMBER(SEARCH("Hourly",OFFSET('Salary &amp; Fringe'!F2,2,0))),OFFSET('Salary &amp; Fringe'!G2,2,0)*Budget!N23*Budget!O23*174*OFFSET('Salary &amp; Fringe'!I2,2,0)*(1+C23)^4*(1+B23),OFFSET('Salary &amp; Fringe'!G2,2,0)*Budget!N23*Budget!O23*OFFSET('Salary &amp; Fringe'!I2,2,0)*(1+C23)^4*(1+B23))),0),"")</f>
        <v/>
      </c>
      <c r="O22" s="402"/>
      <c r="P22" s="402" t="str">
        <f ca="1">IFERROR(ROUND(IF(OFFSET('Salary &amp; Fringe'!H2,2,0)&gt;0,IF(ISNUMBER(SEARCH("Hourly",OFFSET('Salary &amp; Fringe'!F2,2,0))),OFFSET('Salary &amp; Fringe'!H2,2,0)*Budget!P23*Budget!Q23*174*OFFSET('Salary &amp; Fringe'!I2,2,0)*(1+C23)^5*(1+B23),OFFSET('Salary &amp; Fringe'!H2,2,0)*Budget!P23*Budget!Q23*OFFSET('Salary &amp; Fringe'!I2,2,0)*(1+C23)^5*(1+B23)),IF(ISNUMBER(SEARCH("Hourly",OFFSET('Salary &amp; Fringe'!F2,2,0))),OFFSET('Salary &amp; Fringe'!G2,2,0)*Budget!P23*Budget!Q23*174*OFFSET('Salary &amp; Fringe'!I2,2,0)*(1+C23)^5*(1+B23),OFFSET('Salary &amp; Fringe'!G2,2,0)*Budget!P23*Budget!Q23*OFFSET('Salary &amp; Fringe'!I2,2,0)*(1+C23)^5*(1+B23))),0),"")</f>
        <v/>
      </c>
      <c r="Q22" s="402"/>
      <c r="R22" s="402" t="str">
        <f ca="1">IFERROR(ROUND(IF(OFFSET('Salary &amp; Fringe'!H2,2,0)&gt;0,IF(ISNUMBER(SEARCH("Hourly",OFFSET('Salary &amp; Fringe'!F2,2,0))),OFFSET('Salary &amp; Fringe'!H2,2,0)*Budget!R23*Budget!S23*174*OFFSET('Salary &amp; Fringe'!I2,2,0)*(1+C23)^6*(1+B23),OFFSET('Salary &amp; Fringe'!H2,2,0)*Budget!R23*Budget!S23*OFFSET('Salary &amp; Fringe'!I2,2,0)*(1+C23)^6*(1+B23)),IF(ISNUMBER(SEARCH("Hourly",OFFSET('Salary &amp; Fringe'!F2,2,0))),OFFSET('Salary &amp; Fringe'!G2,2,0)*Budget!R23*Budget!S23*174*OFFSET('Salary &amp; Fringe'!I2,2,0)*(1+C23)^6*(1+B23),OFFSET('Salary &amp; Fringe'!G2,2,0)*Budget!R23*Budget!S23*OFFSET('Salary &amp; Fringe'!I2,2,0)*(1+C23)^6*(1+B23))),0),"")</f>
        <v/>
      </c>
      <c r="S22" s="402"/>
      <c r="T22" s="402" t="str">
        <f ca="1">IFERROR(ROUND(IF(OFFSET('Salary &amp; Fringe'!H2,2,0)&gt;0,IF(ISNUMBER(SEARCH("Hourly",OFFSET('Salary &amp; Fringe'!F2,2,0))),OFFSET('Salary &amp; Fringe'!H2,2,0)*Budget!T23*Budget!U23*174*OFFSET('Salary &amp; Fringe'!I2,2,0)*(1+C23)^7*(1+B23),OFFSET('Salary &amp; Fringe'!H2,2,0)*Budget!T23*Budget!U23*OFFSET('Salary &amp; Fringe'!I2,2,0)*(1+C23)^7*(1+B23)),IF(ISNUMBER(SEARCH("Hourly",OFFSET('Salary &amp; Fringe'!F2,2,0))),OFFSET('Salary &amp; Fringe'!G2,2,0)*Budget!T23*Budget!U23*174*OFFSET('Salary &amp; Fringe'!I2,2,0)*(1+C23)^7*(1+B23),OFFSET('Salary &amp; Fringe'!G2,2,0)*Budget!T23*Budget!U23*OFFSET('Salary &amp; Fringe'!I2,2,0)*(1+C23)^7*(1+B23))),0),"")</f>
        <v/>
      </c>
      <c r="U22" s="402"/>
      <c r="V22" s="402" t="str">
        <f ca="1">IFERROR(ROUND(IF(OFFSET('Salary &amp; Fringe'!H2,2,0)&gt;0,IF(ISNUMBER(SEARCH("Hourly",OFFSET('Salary &amp; Fringe'!F2,2,0))),OFFSET('Salary &amp; Fringe'!H2,2,0)*Budget!V23*Budget!W23*174*OFFSET('Salary &amp; Fringe'!I2,2,0)*(1+C23)^8*(1+B23),OFFSET('Salary &amp; Fringe'!H2,2,0)*Budget!V23*Budget!W23*OFFSET('Salary &amp; Fringe'!I2,2,0)*(1+C23)^8*(1+B23)),IF(ISNUMBER(SEARCH("Hourly",OFFSET('Salary &amp; Fringe'!F2,2,0))),OFFSET('Salary &amp; Fringe'!G2,2,0)*Budget!V23*Budget!W23*174*OFFSET('Salary &amp; Fringe'!I2,2,0)*(1+C23)^8*(1+B23),OFFSET('Salary &amp; Fringe'!G2,2,0)*Budget!V23*Budget!W23*OFFSET('Salary &amp; Fringe'!I2,2,0)*(1+C23)^8*(1+B23))),0),"")</f>
        <v/>
      </c>
      <c r="W22" s="402"/>
      <c r="X22" s="402" t="str">
        <f ca="1">IFERROR(ROUND(IF(OFFSET('Salary &amp; Fringe'!H2,2,0)&gt;0,IF(ISNUMBER(SEARCH("Hourly",OFFSET('Salary &amp; Fringe'!F2,2,0))),OFFSET('Salary &amp; Fringe'!H2,2,0)*Budget!X23*Budget!Y23*174*OFFSET('Salary &amp; Fringe'!I2,2,0)*(1+C23)^9*(1+B23),OFFSET('Salary &amp; Fringe'!H2,2,0)*Budget!X23*Budget!Y23*OFFSET('Salary &amp; Fringe'!I2,2,0)*(1+C23)^9*(1+B23)),IF(ISNUMBER(SEARCH("Hourly",OFFSET('Salary &amp; Fringe'!F2,2,0))),OFFSET('Salary &amp; Fringe'!G2,2,0)*Budget!X23*Budget!Y23*174*OFFSET('Salary &amp; Fringe'!I2,2,0)*(1+C23)^9*(1+B23),OFFSET('Salary &amp; Fringe'!G2,2,0)*Budget!X23*Budget!Y23*OFFSET('Salary &amp; Fringe'!I2,2,0)*(1+C23)^9*(1+B23))),0),"")</f>
        <v/>
      </c>
      <c r="Y22" s="402"/>
      <c r="Z22" s="149">
        <f ca="1">SUM(F22:Y22)</f>
        <v>0</v>
      </c>
      <c r="AA22" s="328"/>
    </row>
    <row r="23" spans="1:27" ht="15" customHeight="1" x14ac:dyDescent="0.25">
      <c r="A23" s="154" t="s">
        <v>229</v>
      </c>
      <c r="B23" s="94">
        <v>0.03</v>
      </c>
      <c r="C23" s="94">
        <v>0.03</v>
      </c>
      <c r="D23" s="403" t="s">
        <v>70</v>
      </c>
      <c r="E23" s="403"/>
      <c r="F23" s="81"/>
      <c r="G23" s="82"/>
      <c r="H23" s="81"/>
      <c r="I23" s="82"/>
      <c r="J23" s="81"/>
      <c r="K23" s="82"/>
      <c r="L23" s="81"/>
      <c r="M23" s="82"/>
      <c r="N23" s="81"/>
      <c r="O23" s="82"/>
      <c r="P23" s="81"/>
      <c r="Q23" s="82"/>
      <c r="R23" s="81"/>
      <c r="S23" s="82"/>
      <c r="T23" s="81"/>
      <c r="U23" s="82"/>
      <c r="V23" s="81"/>
      <c r="W23" s="82"/>
      <c r="X23" s="81"/>
      <c r="Y23" s="82"/>
      <c r="Z23" s="17"/>
      <c r="AA23" s="329"/>
    </row>
    <row r="24" spans="1:27" ht="15" customHeight="1" x14ac:dyDescent="0.25">
      <c r="A24" s="152"/>
      <c r="B24" s="368"/>
      <c r="C24" s="368"/>
      <c r="D24" s="152" t="s">
        <v>232</v>
      </c>
      <c r="E24" s="152" t="s">
        <v>232</v>
      </c>
      <c r="F24" s="357" t="str">
        <f ca="1">IFERROR(ROUND(IF(OFFSET('Salary &amp; Fringe'!H4,2,0)&gt;0,IF(ISNUMBER(SEARCH("Hourly",OFFSET('Salary &amp; Fringe'!F4,2,0))),OFFSET('Salary &amp; Fringe'!H4,2,0)*Budget!F25*Budget!G25*174*OFFSET('Salary &amp; Fringe'!I4,2,0)*(1+C25)^0*(1+B25),OFFSET('Salary &amp; Fringe'!H4,2,0)*Budget!F25*Budget!G25*OFFSET('Salary &amp; Fringe'!I4,2,0)*(1+C25)^0*(1+B25)),IF(ISNUMBER(SEARCH("Hourly",OFFSET('Salary &amp; Fringe'!F4,2,0))),OFFSET('Salary &amp; Fringe'!G4,2,0)*Budget!F25*Budget!G25*174*OFFSET('Salary &amp; Fringe'!I4,2,0)*(1+C25)^0*(1+B25),OFFSET('Salary &amp; Fringe'!G4,2,0)*Budget!F25*Budget!G25*OFFSET('Salary &amp; Fringe'!I4,2,0)*(1+C25)^0*(1+B25))),0),"")</f>
        <v/>
      </c>
      <c r="G24" s="357"/>
      <c r="H24" s="357" t="str">
        <f ca="1">IFERROR(ROUND(IF(OFFSET('Salary &amp; Fringe'!H4,2,0)&gt;0,IF(ISNUMBER(SEARCH("Hourly",OFFSET('Salary &amp; Fringe'!F4,2,0))),OFFSET('Salary &amp; Fringe'!H4,2,0)*Budget!H25*Budget!I25*174*OFFSET('Salary &amp; Fringe'!I4,2,0)*(1+C25)^1*(1+B25),OFFSET('Salary &amp; Fringe'!H4,2,0)*Budget!H25*Budget!I25*OFFSET('Salary &amp; Fringe'!I4,2,0)*(1+C25)^1*(1+B25)),IF(ISNUMBER(SEARCH("Hourly",OFFSET('Salary &amp; Fringe'!F4,2,0))),OFFSET('Salary &amp; Fringe'!G4,2,0)*Budget!H25*Budget!I25*174*OFFSET('Salary &amp; Fringe'!I4,2,0)*(1+C25)^1*(1+B25),OFFSET('Salary &amp; Fringe'!G4,2,0)*Budget!H25*Budget!I25*OFFSET('Salary &amp; Fringe'!I4,2,0)*(1+C25)^1*(1+B25))),0),"")</f>
        <v/>
      </c>
      <c r="I24" s="357"/>
      <c r="J24" s="357" t="str">
        <f ca="1">IFERROR(ROUND(IF(OFFSET('Salary &amp; Fringe'!H4,2,0)&gt;0,IF(ISNUMBER(SEARCH("Hourly",OFFSET('Salary &amp; Fringe'!F4,2,0))),OFFSET('Salary &amp; Fringe'!H4,2,0)*Budget!J25*Budget!K25*174*OFFSET('Salary &amp; Fringe'!I4,2,0)*(1+C25)^2*(1+B25),OFFSET('Salary &amp; Fringe'!H4,2,0)*Budget!J25*Budget!K25*OFFSET('Salary &amp; Fringe'!I4,2,0)*(1+C25)^2*(1+B25)),IF(ISNUMBER(SEARCH("Hourly",OFFSET('Salary &amp; Fringe'!F4,2,0))),OFFSET('Salary &amp; Fringe'!G4,2,0)*Budget!J25*Budget!K25*174*OFFSET('Salary &amp; Fringe'!I4,2,0)*(1+C25)^2*(1+B25),OFFSET('Salary &amp; Fringe'!G4,2,0)*Budget!J25*Budget!K25*OFFSET('Salary &amp; Fringe'!I4,2,0)*(1+C25)^2*(1+B25))),0),"")</f>
        <v/>
      </c>
      <c r="K24" s="357"/>
      <c r="L24" s="357" t="str">
        <f ca="1">IFERROR(ROUND(IF(OFFSET('Salary &amp; Fringe'!H4,2,0)&gt;0,IF(ISNUMBER(SEARCH("Hourly",OFFSET('Salary &amp; Fringe'!F4,2,0))),OFFSET('Salary &amp; Fringe'!H4,2,0)*Budget!L25*Budget!M25*174*OFFSET('Salary &amp; Fringe'!I4,2,0)*(1+C25)^3*(1+B25),OFFSET('Salary &amp; Fringe'!H4,2,0)*Budget!L25*Budget!M25*OFFSET('Salary &amp; Fringe'!I4,2,0)*(1+C25)^3*(1+B25)),IF(ISNUMBER(SEARCH("Hourly",OFFSET('Salary &amp; Fringe'!F4,2,0))),OFFSET('Salary &amp; Fringe'!G4,2,0)*Budget!L25*Budget!M25*174*OFFSET('Salary &amp; Fringe'!I4,2,0)*(1+C25)^3*(1+B25),OFFSET('Salary &amp; Fringe'!G4,2,0)*Budget!L25*Budget!M25*OFFSET('Salary &amp; Fringe'!I4,2,0)*(1+C25)^3*(1+B25))),0),"")</f>
        <v/>
      </c>
      <c r="M24" s="357"/>
      <c r="N24" s="357" t="str">
        <f ca="1">IFERROR(ROUND(IF(OFFSET('Salary &amp; Fringe'!H4,2,0)&gt;0,IF(ISNUMBER(SEARCH("Hourly",OFFSET('Salary &amp; Fringe'!F4,2,0))),OFFSET('Salary &amp; Fringe'!H4,2,0)*Budget!N25*Budget!O25*174*OFFSET('Salary &amp; Fringe'!I4,2,0)*(1+C25)^4*(1+B25),OFFSET('Salary &amp; Fringe'!H4,2,0)*Budget!N25*Budget!O25*OFFSET('Salary &amp; Fringe'!I4,2,0)*(1+C25)^4*(1+B25)),IF(ISNUMBER(SEARCH("Hourly",OFFSET('Salary &amp; Fringe'!F4,2,0))),OFFSET('Salary &amp; Fringe'!G4,2,0)*Budget!N25*Budget!O25*174*OFFSET('Salary &amp; Fringe'!I4,2,0)*(1+C25)^4*(1+B25),OFFSET('Salary &amp; Fringe'!G4,2,0)*Budget!N25*Budget!O25*OFFSET('Salary &amp; Fringe'!I4,2,0)*(1+C25)^4*(1+B25))),0),"")</f>
        <v/>
      </c>
      <c r="O24" s="357"/>
      <c r="P24" s="357" t="str">
        <f ca="1">IFERROR(ROUND(IF(OFFSET('Salary &amp; Fringe'!H4,2,0)&gt;0,IF(ISNUMBER(SEARCH("Hourly",OFFSET('Salary &amp; Fringe'!F4,2,0))),OFFSET('Salary &amp; Fringe'!H4,2,0)*Budget!P25*Budget!Q25*174*OFFSET('Salary &amp; Fringe'!I4,2,0)*(1+C25)^5*(1+B25),OFFSET('Salary &amp; Fringe'!H4,2,0)*Budget!P25*Budget!Q25*OFFSET('Salary &amp; Fringe'!I4,2,0)*(1+C25)^5*(1+B25)),IF(ISNUMBER(SEARCH("Hourly",OFFSET('Salary &amp; Fringe'!F4,2,0))),OFFSET('Salary &amp; Fringe'!G4,2,0)*Budget!P25*Budget!Q25*174*OFFSET('Salary &amp; Fringe'!I4,2,0)*(1+C25)^5*(1+B25),OFFSET('Salary &amp; Fringe'!G4,2,0)*Budget!P25*Budget!Q25*OFFSET('Salary &amp; Fringe'!I4,2,0)*(1+C25)^5*(1+B25))),0),"")</f>
        <v/>
      </c>
      <c r="Q24" s="357"/>
      <c r="R24" s="357" t="str">
        <f ca="1">IFERROR(ROUND(IF(OFFSET('Salary &amp; Fringe'!H4,2,0)&gt;0,IF(ISNUMBER(SEARCH("Hourly",OFFSET('Salary &amp; Fringe'!F4,2,0))),OFFSET('Salary &amp; Fringe'!H4,2,0)*Budget!R25*Budget!S25*174*OFFSET('Salary &amp; Fringe'!I4,2,0)*(1+C25)^6*(1+B25),OFFSET('Salary &amp; Fringe'!H4,2,0)*Budget!R25*Budget!S25*OFFSET('Salary &amp; Fringe'!I4,2,0)*(1+C25)^6*(1+B25)),IF(ISNUMBER(SEARCH("Hourly",OFFSET('Salary &amp; Fringe'!F4,2,0))),OFFSET('Salary &amp; Fringe'!G4,2,0)*Budget!R25*Budget!S25*174*OFFSET('Salary &amp; Fringe'!I4,2,0)*(1+C25)^6*(1+B25),OFFSET('Salary &amp; Fringe'!G4,2,0)*Budget!R25*Budget!S25*OFFSET('Salary &amp; Fringe'!I4,2,0)*(1+C25)^6*(1+B25))),0),"")</f>
        <v/>
      </c>
      <c r="S24" s="357"/>
      <c r="T24" s="357" t="str">
        <f ca="1">IFERROR(ROUND(IF(OFFSET('Salary &amp; Fringe'!H4,2,0)&gt;0,IF(ISNUMBER(SEARCH("Hourly",OFFSET('Salary &amp; Fringe'!F4,2,0))),OFFSET('Salary &amp; Fringe'!H4,2,0)*Budget!T25*Budget!U25*174*OFFSET('Salary &amp; Fringe'!I4,2,0)*(1+C25)^7*(1+B25),OFFSET('Salary &amp; Fringe'!H4,2,0)*Budget!T25*Budget!U25*OFFSET('Salary &amp; Fringe'!I4,2,0)*(1+C25)^7*(1+B25)),IF(ISNUMBER(SEARCH("Hourly",OFFSET('Salary &amp; Fringe'!F4,2,0))),OFFSET('Salary &amp; Fringe'!G4,2,0)*Budget!T25*Budget!U25*174*OFFSET('Salary &amp; Fringe'!I4,2,0)*(1+C25)^7*(1+B25),OFFSET('Salary &amp; Fringe'!G4,2,0)*Budget!T25*Budget!U25*OFFSET('Salary &amp; Fringe'!I4,2,0)*(1+C25)^7*(1+B25))),0),"")</f>
        <v/>
      </c>
      <c r="U24" s="357"/>
      <c r="V24" s="357" t="str">
        <f ca="1">IFERROR(ROUND(IF(OFFSET('Salary &amp; Fringe'!H4,2,0)&gt;0,IF(ISNUMBER(SEARCH("Hourly",OFFSET('Salary &amp; Fringe'!F4,2,0))),OFFSET('Salary &amp; Fringe'!H4,2,0)*Budget!V25*Budget!W25*174*OFFSET('Salary &amp; Fringe'!I4,2,0)*(1+C25)^8*(1+B25),OFFSET('Salary &amp; Fringe'!H4,2,0)*Budget!V25*Budget!W25*OFFSET('Salary &amp; Fringe'!I4,2,0)*(1+C25)^8*(1+B25)),IF(ISNUMBER(SEARCH("Hourly",OFFSET('Salary &amp; Fringe'!F4,2,0))),OFFSET('Salary &amp; Fringe'!G4,2,0)*Budget!V25*Budget!W25*174*OFFSET('Salary &amp; Fringe'!I4,2,0)*(1+C25)^8*(1+B25),OFFSET('Salary &amp; Fringe'!G4,2,0)*Budget!V25*Budget!W25*OFFSET('Salary &amp; Fringe'!I4,2,0)*(1+C25)^8*(1+B25))),0),"")</f>
        <v/>
      </c>
      <c r="W24" s="357"/>
      <c r="X24" s="357" t="str">
        <f ca="1">IFERROR(ROUND(IF(OFFSET('Salary &amp; Fringe'!H4,2,0)&gt;0,IF(ISNUMBER(SEARCH("Hourly",OFFSET('Salary &amp; Fringe'!F4,2,0))),OFFSET('Salary &amp; Fringe'!H4,2,0)*Budget!X25*Budget!Y25*174*OFFSET('Salary &amp; Fringe'!I4,2,0)*(1+C25)^9*(1+B25),OFFSET('Salary &amp; Fringe'!H4,2,0)*Budget!X25*Budget!Y25*OFFSET('Salary &amp; Fringe'!I4,2,0)*(1+C25)^9*(1+B25)),IF(ISNUMBER(SEARCH("Hourly",OFFSET('Salary &amp; Fringe'!F4,2,0))),OFFSET('Salary &amp; Fringe'!G4,2,0)*Budget!X25*Budget!Y25*174*OFFSET('Salary &amp; Fringe'!I4,2,0)*(1+C25)^9*(1+B25),OFFSET('Salary &amp; Fringe'!G4,2,0)*Budget!X25*Budget!Y25*OFFSET('Salary &amp; Fringe'!I4,2,0)*(1+C25)^9*(1+B25))),0),"")</f>
        <v/>
      </c>
      <c r="Y24" s="357"/>
      <c r="Z24" s="149">
        <f ca="1">SUM(F24:Y24)</f>
        <v>0</v>
      </c>
      <c r="AA24" s="328"/>
    </row>
    <row r="25" spans="1:27" ht="15" customHeight="1" x14ac:dyDescent="0.25">
      <c r="A25" s="154" t="s">
        <v>229</v>
      </c>
      <c r="B25" s="94">
        <v>0.03</v>
      </c>
      <c r="C25" s="94">
        <v>0.03</v>
      </c>
      <c r="D25" s="403" t="s">
        <v>70</v>
      </c>
      <c r="E25" s="403"/>
      <c r="F25" s="81"/>
      <c r="G25" s="82"/>
      <c r="H25" s="81"/>
      <c r="I25" s="82"/>
      <c r="J25" s="81"/>
      <c r="K25" s="82"/>
      <c r="L25" s="81"/>
      <c r="M25" s="82"/>
      <c r="N25" s="81"/>
      <c r="O25" s="82"/>
      <c r="P25" s="81"/>
      <c r="Q25" s="82"/>
      <c r="R25" s="81"/>
      <c r="S25" s="82"/>
      <c r="T25" s="81"/>
      <c r="U25" s="82"/>
      <c r="V25" s="81"/>
      <c r="W25" s="82"/>
      <c r="X25" s="81"/>
      <c r="Y25" s="82"/>
      <c r="Z25" s="17"/>
      <c r="AA25" s="330"/>
    </row>
    <row r="26" spans="1:27" ht="15" customHeight="1" x14ac:dyDescent="0.25">
      <c r="A26" s="401" t="s">
        <v>41</v>
      </c>
      <c r="B26" s="401"/>
      <c r="C26" s="401"/>
      <c r="D26" s="401"/>
      <c r="E26" s="401"/>
      <c r="F26" s="356">
        <f ca="1">SUMPRODUCT(--(MOD(ROW(F22:F22:OFFSET(TotalSalary1,-2,0))-ROW(F22)+0,2)=0),F22:F22:OFFSET(TotalSalary1,-2,0))</f>
        <v>0</v>
      </c>
      <c r="G26" s="356"/>
      <c r="H26" s="356">
        <f ca="1">SUMPRODUCT(--(MOD(ROW(H22:H22:OFFSET(TotalSalary2,-2,0))-ROW(H22)+0,2)=0),H22:H22:OFFSET(TotalSalary2,-2,0))</f>
        <v>0</v>
      </c>
      <c r="I26" s="356"/>
      <c r="J26" s="356">
        <f ca="1">SUMPRODUCT(--(MOD(ROW(J22:J22:OFFSET(TotalSalary3,-2,0))-ROW(J22)+0,2)=0),J22:J22:OFFSET(TotalSalary3,-2,0))</f>
        <v>0</v>
      </c>
      <c r="K26" s="356"/>
      <c r="L26" s="356">
        <f ca="1">SUMPRODUCT(--(MOD(ROW(L22:L22:OFFSET(TotalSalary4,-2,0))-ROW(L22)+0,2)=0),L22:L22:OFFSET(TotalSalary4,-2,0))</f>
        <v>0</v>
      </c>
      <c r="M26" s="356"/>
      <c r="N26" s="356">
        <f ca="1">SUMPRODUCT(--(MOD(ROW(N22:N22:OFFSET(TotalSalary5,-2,0))-ROW(N22)+0,2)=0),N22:N22:OFFSET(TotalSalary5,-2,0))</f>
        <v>0</v>
      </c>
      <c r="O26" s="356"/>
      <c r="P26" s="356">
        <f ca="1">SUMPRODUCT(--(MOD(ROW(P22:P22:OFFSET(TotalSalary6,-2,0))-ROW(P22)+0,2)=0),P22:P22:OFFSET(TotalSalary6,-2,0))</f>
        <v>0</v>
      </c>
      <c r="Q26" s="356"/>
      <c r="R26" s="356">
        <f ca="1">SUMPRODUCT(--(MOD(ROW(R22:R22:OFFSET(TotalSalary7,-2,0))-ROW(R22)+0,2)=0),R22:R22:OFFSET(TotalSalary7,-2,0))</f>
        <v>0</v>
      </c>
      <c r="S26" s="356"/>
      <c r="T26" s="356">
        <f ca="1">SUMPRODUCT(--(MOD(ROW(T22:T22:OFFSET(TotalSalary8,-2,0))-ROW(T22)+0,2)=0),T22:T22:OFFSET(TotalSalary8,-2,0))</f>
        <v>0</v>
      </c>
      <c r="U26" s="356"/>
      <c r="V26" s="356">
        <f ca="1">SUMPRODUCT(--(MOD(ROW(V22:V22:OFFSET(TotalSalary9,-2,0))-ROW(V22)+0,2)=0),V22:V22:OFFSET(TotalSalary9,-2,0))</f>
        <v>0</v>
      </c>
      <c r="W26" s="356"/>
      <c r="X26" s="356">
        <f ca="1">SUMPRODUCT(--(MOD(ROW(X22:X22:OFFSET(TotalSalary10,-2,0))-ROW(X22)+0,2)=0),X22:X22:OFFSET(TotalSalary10,-2,0))</f>
        <v>0</v>
      </c>
      <c r="Y26" s="356"/>
      <c r="Z26" s="166">
        <f ca="1">SUM(F26:Y26)</f>
        <v>0</v>
      </c>
      <c r="AA26" s="330"/>
    </row>
    <row r="27" spans="1:27" ht="15" customHeight="1" x14ac:dyDescent="0.25">
      <c r="A27" s="372" t="s">
        <v>71</v>
      </c>
      <c r="B27" s="372"/>
      <c r="C27" s="372"/>
      <c r="D27" s="372"/>
      <c r="E27" s="372"/>
      <c r="F27" s="174"/>
      <c r="G27" s="175"/>
      <c r="H27" s="175"/>
      <c r="I27" s="175"/>
      <c r="J27" s="175"/>
      <c r="K27" s="175"/>
      <c r="L27" s="175"/>
      <c r="M27" s="175"/>
      <c r="N27" s="175"/>
      <c r="O27" s="175"/>
      <c r="P27" s="175"/>
      <c r="Q27" s="175"/>
      <c r="R27" s="175"/>
      <c r="S27" s="175"/>
      <c r="T27" s="175"/>
      <c r="U27" s="175"/>
      <c r="V27" s="175"/>
      <c r="W27" s="175"/>
      <c r="X27" s="175"/>
      <c r="Y27" s="175"/>
      <c r="Z27" s="176"/>
      <c r="AA27" s="330"/>
    </row>
    <row r="28" spans="1:27" ht="15" customHeight="1" x14ac:dyDescent="0.25">
      <c r="A28" s="153" t="s">
        <v>11</v>
      </c>
      <c r="B28" s="378" t="s">
        <v>342</v>
      </c>
      <c r="C28" s="378"/>
      <c r="D28" s="153" t="s">
        <v>12</v>
      </c>
      <c r="E28" s="167" t="s">
        <v>13</v>
      </c>
      <c r="F28" s="60"/>
      <c r="G28" s="61"/>
      <c r="H28" s="61"/>
      <c r="I28" s="61"/>
      <c r="J28" s="61"/>
      <c r="K28" s="61"/>
      <c r="L28" s="61"/>
      <c r="M28" s="61"/>
      <c r="N28" s="61"/>
      <c r="O28" s="61"/>
      <c r="P28" s="61"/>
      <c r="Q28" s="61"/>
      <c r="R28" s="61"/>
      <c r="S28" s="61"/>
      <c r="T28" s="61"/>
      <c r="U28" s="61"/>
      <c r="V28" s="61"/>
      <c r="W28" s="61"/>
      <c r="X28" s="61"/>
      <c r="Y28" s="61"/>
      <c r="Z28" s="62"/>
      <c r="AA28" s="331"/>
    </row>
    <row r="29" spans="1:27" ht="15" customHeight="1" x14ac:dyDescent="0.25">
      <c r="A29" s="35" t="str">
        <f>IF(ISBLANK(A22),"",A22)</f>
        <v/>
      </c>
      <c r="B29" s="407" t="str">
        <f>IF(ISBLANK(B22),"",B22)</f>
        <v/>
      </c>
      <c r="C29" s="408"/>
      <c r="D29" s="157" t="str">
        <f>IF(ISBLANK(D22),"",D22)</f>
        <v>Select One</v>
      </c>
      <c r="E29" s="157" t="str">
        <f>IF(ISBLANK(E22),"",E22)</f>
        <v>Select One</v>
      </c>
      <c r="F29" s="358" t="str">
        <f ca="1">IFERROR(ROUND(IF(F30="",(F22*$B30),(F22*$F30)),0),"")</f>
        <v/>
      </c>
      <c r="G29" s="358"/>
      <c r="H29" s="358" t="str">
        <f ca="1">IFERROR(ROUND(IF(H30="",(H22*$B30),(H22*$H30)),0),"")</f>
        <v/>
      </c>
      <c r="I29" s="358"/>
      <c r="J29" s="358" t="str">
        <f ca="1">IFERROR(ROUND(IF(J30="",(J22*$B30),(J22*$J30)),0),"")</f>
        <v/>
      </c>
      <c r="K29" s="358"/>
      <c r="L29" s="358" t="str">
        <f ca="1">IFERROR(ROUND(IF(L30="",(L22*$B30),(L22*$L30)),0),"")</f>
        <v/>
      </c>
      <c r="M29" s="358"/>
      <c r="N29" s="358" t="str">
        <f ca="1">IFERROR(ROUND(IF(N30="",(N22*$B30),(N22*$N30)),0),"")</f>
        <v/>
      </c>
      <c r="O29" s="358"/>
      <c r="P29" s="358" t="str">
        <f ca="1">IFERROR(ROUND(IF(P30="",(P22*$B30),(P22*$P30)),0),"")</f>
        <v/>
      </c>
      <c r="Q29" s="358"/>
      <c r="R29" s="358" t="str">
        <f ca="1">IFERROR(ROUND(IF(R30="",(R22*$B30),(R22*$R30)),0),"")</f>
        <v/>
      </c>
      <c r="S29" s="358"/>
      <c r="T29" s="358" t="str">
        <f ca="1">IFERROR(ROUND(IF(T30="",(T22*$B30),(T22*$T30)),0),"")</f>
        <v/>
      </c>
      <c r="U29" s="358"/>
      <c r="V29" s="358" t="str">
        <f ca="1">IFERROR(ROUND(IF(V30="",(V22*$B30),(V22*$V30)),0),"")</f>
        <v/>
      </c>
      <c r="W29" s="358"/>
      <c r="X29" s="358" t="str">
        <f ca="1">IFERROR(ROUND(IF(X30="",(X22*$B30),(X22*$X30)),0),"")</f>
        <v/>
      </c>
      <c r="Y29" s="358"/>
      <c r="Z29" s="150">
        <f ca="1">SUM(F29:Y29)</f>
        <v>0</v>
      </c>
      <c r="AA29" s="328"/>
    </row>
    <row r="30" spans="1:27" ht="15" customHeight="1" x14ac:dyDescent="0.25">
      <c r="A30" s="154" t="s">
        <v>40</v>
      </c>
      <c r="B30" s="156" t="str">
        <f ca="1">IF($D$9="Federal",IF(C30="", IFERROR(IF(ISNUMBER(SEARCH("GSR*",OFFSET(B30,-1,2))),IF(ISNUMBER(SEARCH("Summer",OFFSET('Salary &amp; Fringe'!F2,2,0))),VLOOKUP(OFFSET(B30,-1,2),'Salary Tables'!$A$1:'Salary Tables'!$AD$55,25,FALSE),VLOOKUP(OFFSET(B30,-1,2),'Salary Tables'!$A$1:'Salary Tables'!$AD$55,26,FALSE)),IF(ISNUMBER(SEARCH("PROF*",OFFSET(B30,-1,2))),IF(ISNUMBER(SEARCH("Summer",OFFSET('Salary &amp; Fringe'!F2,2,0))),VLOOKUP(OFFSET(B30,-1,2),'Salary Tables'!$A$1:'Salary Tables'!$AD$55,25,FALSE),VLOOKUP(OFFSET(B30,-1,2),'Salary Tables'!$A$1:'Salary Tables'!$AD$55,26,FALSE)),IF(ISNUMBER(SEARCH("UNDERGRAD",D29)),IF(ISNUMBER(SEARCH("Summer",OFFSET('Salary &amp; Fringe'!F2,2,0))),VLOOKUP(OFFSET(B30,-1,2),'Salary Tables'!$A$1:'Salary Tables'!$AD$55,25,FALSE),VLOOKUP(OFFSET(B30,-1,2),'Salary Tables'!$A$1:'Salary Tables'!$AD$55,26,FALSE)),VLOOKUP(OFFSET(B30,-1,2),'Salary Tables'!$A$1:'Salary Tables'!$AD$55,27,FALSE)))),""), C30),IF($D$9="Non-Federal",IF(C30="", IFERROR(IF(ISNUMBER(SEARCH("GSR*",OFFSET(B30,-1,2))),IF(ISNUMBER(SEARCH("Summer",OFFSET('Salary &amp; Fringe'!F2,2,0))),VLOOKUP(OFFSET(B30,-1,2),'Salary Tables'!$A$1:'Salary Tables'!$AD$55,28,FALSE),VLOOKUP(OFFSET(B30,-1,2),'Salary Tables'!$A$1:'Salary Tables'!$AD$55,29,FALSE)),IF(ISNUMBER(SEARCH("PROF*",OFFSET(B30,-1,2))),IF(ISNUMBER(SEARCH("Summer",OFFSET('Salary &amp; Fringe'!F2,2,0))),VLOOKUP(OFFSET(B30,-1,2),'Salary Tables'!$A$1:'Salary Tables'!$AD$55,28,FALSE),VLOOKUP(OFFSET(B30,-1,2),'Salary Tables'!$A$1:'Salary Tables'!$AD$55,29,FALSE)),IF(ISNUMBER(SEARCH("UNDERGRAD",D29)),IF(ISNUMBER(SEARCH("Summer",OFFSET('Salary &amp; Fringe'!F2,2,0))),VLOOKUP(OFFSET(B30,-1,2),'Salary Tables'!$A$1:'Salary Tables'!$AD$55,28,FALSE),VLOOKUP(OFFSET(B30,-1,2),'Salary Tables'!$A$1:'Salary Tables'!$AD$55,29,FALSE)),VLOOKUP(OFFSET(B30,-1,2),'Salary Tables'!$A$1:'Salary Tables'!$AD$55,30,FALSE)))),""), C30),""))</f>
        <v/>
      </c>
      <c r="C30" s="93"/>
      <c r="D30" s="411" t="s">
        <v>39</v>
      </c>
      <c r="E30" s="412"/>
      <c r="F30" s="406"/>
      <c r="G30" s="359"/>
      <c r="H30" s="359"/>
      <c r="I30" s="359"/>
      <c r="J30" s="359"/>
      <c r="K30" s="359"/>
      <c r="L30" s="359"/>
      <c r="M30" s="359"/>
      <c r="N30" s="359"/>
      <c r="O30" s="359"/>
      <c r="P30" s="359"/>
      <c r="Q30" s="359"/>
      <c r="R30" s="359"/>
      <c r="S30" s="359"/>
      <c r="T30" s="359"/>
      <c r="U30" s="359"/>
      <c r="V30" s="359"/>
      <c r="W30" s="359"/>
      <c r="X30" s="359"/>
      <c r="Y30" s="359"/>
      <c r="Z30" s="150"/>
      <c r="AA30" s="329"/>
    </row>
    <row r="31" spans="1:27" ht="15" customHeight="1" x14ac:dyDescent="0.25">
      <c r="A31" s="7" t="str">
        <f>IF(ISBLANK(A24),"",A24)</f>
        <v/>
      </c>
      <c r="B31" s="404" t="str">
        <f>IF(ISBLANK(B24),"",B24)</f>
        <v/>
      </c>
      <c r="C31" s="405"/>
      <c r="D31" s="158" t="str">
        <f>IF(ISBLANK(D24),"",D24)</f>
        <v>Select One</v>
      </c>
      <c r="E31" s="158" t="str">
        <f>IF(ISBLANK(E24),"",E24)</f>
        <v>Select One</v>
      </c>
      <c r="F31" s="358" t="str">
        <f ca="1">IFERROR(ROUND(IF(F32="",(F24*$B32),(F24*$F32)),0),"")</f>
        <v/>
      </c>
      <c r="G31" s="358"/>
      <c r="H31" s="358" t="str">
        <f ca="1">IFERROR(ROUND(IF(H32="",(H24*$B32),(H24*$H32)),0),"")</f>
        <v/>
      </c>
      <c r="I31" s="358"/>
      <c r="J31" s="358" t="str">
        <f ca="1">IFERROR(ROUND(IF(J32="",(J24*$B32),(J24*$J32)),0),"")</f>
        <v/>
      </c>
      <c r="K31" s="358"/>
      <c r="L31" s="358" t="str">
        <f ca="1">IFERROR(ROUND(IF(L32="",(L24*$B32),(L24*$L32)),0),"")</f>
        <v/>
      </c>
      <c r="M31" s="358"/>
      <c r="N31" s="358" t="str">
        <f ca="1">IFERROR(ROUND(IF(N32="",(N24*$B32),(N24*$N32)),0),"")</f>
        <v/>
      </c>
      <c r="O31" s="358"/>
      <c r="P31" s="358" t="str">
        <f ca="1">IFERROR(ROUND(IF(P32="",(P24*$B32),(P24*$P32)),0),"")</f>
        <v/>
      </c>
      <c r="Q31" s="358"/>
      <c r="R31" s="358" t="str">
        <f ca="1">IFERROR(ROUND(IF(R32="",(R24*$B32),(R24*$R32)),0),"")</f>
        <v/>
      </c>
      <c r="S31" s="358"/>
      <c r="T31" s="358" t="str">
        <f ca="1">IFERROR(ROUND(IF(T32="",(T24*$B32),(T24*$T32)),0),"")</f>
        <v/>
      </c>
      <c r="U31" s="358"/>
      <c r="V31" s="358" t="str">
        <f ca="1">IFERROR(ROUND(IF(V32="",(V24*$B32),(V24*$V32)),0),"")</f>
        <v/>
      </c>
      <c r="W31" s="358"/>
      <c r="X31" s="358" t="str">
        <f ca="1">IFERROR(ROUND(IF(X32="",(X24*$B32),(X24*$X32)),0),"")</f>
        <v/>
      </c>
      <c r="Y31" s="358"/>
      <c r="Z31" s="150">
        <f ca="1">SUM(F31:Y31)</f>
        <v>0</v>
      </c>
      <c r="AA31" s="328"/>
    </row>
    <row r="32" spans="1:27" ht="15" customHeight="1" x14ac:dyDescent="0.25">
      <c r="A32" s="154" t="s">
        <v>40</v>
      </c>
      <c r="B32" s="156" t="str">
        <f ca="1">IF($D$9="Federal",IF(C32="", IFERROR(IF(ISNUMBER(SEARCH("GSR*",OFFSET(B32,-1,2))),IF(ISNUMBER(SEARCH("Summer",OFFSET('Salary &amp; Fringe'!F4,2,0))),VLOOKUP(OFFSET(B32,-1,2),'Salary Tables'!$A$1:'Salary Tables'!$AD$55,25,FALSE),VLOOKUP(OFFSET(B32,-1,2),'Salary Tables'!$A$1:'Salary Tables'!$AD$55,26,FALSE)),IF(ISNUMBER(SEARCH("PROF*",OFFSET(B32,-1,2))),IF(ISNUMBER(SEARCH("Summer",OFFSET('Salary &amp; Fringe'!F4,2,0))),VLOOKUP(OFFSET(B32,-1,2),'Salary Tables'!$A$1:'Salary Tables'!$AD$55,25,FALSE),VLOOKUP(OFFSET(B32,-1,2),'Salary Tables'!$A$1:'Salary Tables'!$AD$55,26,FALSE)),IF(ISNUMBER(SEARCH("UNDERGRAD",D31)),IF(ISNUMBER(SEARCH("Summer",OFFSET('Salary &amp; Fringe'!F4,2,0))),VLOOKUP(OFFSET(B32,-1,2),'Salary Tables'!$A$1:'Salary Tables'!$AD$55,25,FALSE),VLOOKUP(OFFSET(B32,-1,2),'Salary Tables'!$A$1:'Salary Tables'!$AD$55,26,FALSE)),VLOOKUP(OFFSET(B32,-1,2),'Salary Tables'!$A$1:'Salary Tables'!$AD$55,27,FALSE)))),""), C32),IF($D$9="Non-Federal",IF(C32="", IFERROR(IF(ISNUMBER(SEARCH("GSR*",OFFSET(B32,-1,2))),IF(ISNUMBER(SEARCH("Summer",OFFSET('Salary &amp; Fringe'!F4,2,0))),VLOOKUP(OFFSET(B32,-1,2),'Salary Tables'!$A$1:'Salary Tables'!$AD$55,28,FALSE),VLOOKUP(OFFSET(B32,-1,2),'Salary Tables'!$A$1:'Salary Tables'!$AD$55,29,FALSE)),IF(ISNUMBER(SEARCH("PROF*",OFFSET(B32,-1,2))),IF(ISNUMBER(SEARCH("Summer",OFFSET('Salary &amp; Fringe'!F4,2,0))),VLOOKUP(OFFSET(B32,-1,2),'Salary Tables'!$A$1:'Salary Tables'!$AD$55,28,FALSE),VLOOKUP(OFFSET(B32,-1,2),'Salary Tables'!$A$1:'Salary Tables'!$AD$55,29,FALSE)),IF(ISNUMBER(SEARCH("UNDERGRAD",D31)),IF(ISNUMBER(SEARCH("Summer",OFFSET('Salary &amp; Fringe'!F4,2,0))),VLOOKUP(OFFSET(B32,-1,2),'Salary Tables'!$A$1:'Salary Tables'!$AD$55,28,FALSE),VLOOKUP(OFFSET(B32,-1,2),'Salary Tables'!$A$1:'Salary Tables'!$AD$55,29,FALSE)),VLOOKUP(OFFSET(B32,-1,2),'Salary Tables'!$A$1:'Salary Tables'!$AD$55,30,FALSE)))),""), C32),""))</f>
        <v/>
      </c>
      <c r="C32" s="93"/>
      <c r="D32" s="411" t="s">
        <v>39</v>
      </c>
      <c r="E32" s="412"/>
      <c r="F32" s="406"/>
      <c r="G32" s="359"/>
      <c r="H32" s="359"/>
      <c r="I32" s="359"/>
      <c r="J32" s="359"/>
      <c r="K32" s="359"/>
      <c r="L32" s="359"/>
      <c r="M32" s="359"/>
      <c r="N32" s="359"/>
      <c r="O32" s="359"/>
      <c r="P32" s="359"/>
      <c r="Q32" s="359"/>
      <c r="R32" s="359"/>
      <c r="S32" s="359"/>
      <c r="T32" s="359"/>
      <c r="U32" s="359"/>
      <c r="V32" s="359"/>
      <c r="W32" s="359"/>
      <c r="X32" s="359"/>
      <c r="Y32" s="359"/>
      <c r="Z32" s="150"/>
      <c r="AA32" s="330"/>
    </row>
    <row r="33" spans="1:27" ht="15" customHeight="1" x14ac:dyDescent="0.25">
      <c r="A33" s="401" t="s">
        <v>42</v>
      </c>
      <c r="B33" s="401"/>
      <c r="C33" s="413"/>
      <c r="D33" s="413"/>
      <c r="E33" s="413"/>
      <c r="F33" s="356">
        <f ca="1">SUMPRODUCT(--(MOD(ROW(Fringe1:Fringe1:OFFSET(TotalFringe1,-2,0))-ROW(Fringe1)+0,2)=0),Fringe1:Fringe1:OFFSET(TotalFringe1,-2,0))</f>
        <v>0</v>
      </c>
      <c r="G33" s="356"/>
      <c r="H33" s="356">
        <f ca="1">SUMPRODUCT(--(MOD(ROW(Fringe2:Fringe2:OFFSET(TotalFringe2,-2,0))-ROW(Fringe2)+0,2)=0),Fringe2:Fringe2:OFFSET(TotalFringe2,-2,0))</f>
        <v>0</v>
      </c>
      <c r="I33" s="356"/>
      <c r="J33" s="356">
        <f ca="1">SUMPRODUCT(--(MOD(ROW(Fringe3:Fringe3:OFFSET(TotalFringe3,-2,0))-ROW(Fringe3)+0,2)=0),Fringe3:Fringe3:OFFSET(TotalFringe3,-2,0))</f>
        <v>0</v>
      </c>
      <c r="K33" s="356"/>
      <c r="L33" s="356">
        <f ca="1">SUMPRODUCT(--(MOD(ROW(Fringe4:Fringe4:OFFSET(TotalFringe4,-2,0))-ROW(Fringe4)+0,2)=0),Fringe4:Fringe4:OFFSET(TotalFringe4,-2,0))</f>
        <v>0</v>
      </c>
      <c r="M33" s="356"/>
      <c r="N33" s="356">
        <f ca="1">SUMPRODUCT(--(MOD(ROW(Fringe5:Fringe5:OFFSET(TotalFringe5,-2,0))-ROW(Fringe5)+0,2)=0),Fringe5:Fringe5:OFFSET(TotalFringe5,-2,0))</f>
        <v>0</v>
      </c>
      <c r="O33" s="356"/>
      <c r="P33" s="356">
        <f ca="1">SUMPRODUCT(--(MOD(ROW(Fringe6:Fringe6:OFFSET(TotalFringe6,-2,0))-ROW(Fringe6)+0,2)=0),Fringe6:Fringe6:OFFSET(TotalFringe6,-2,0))</f>
        <v>0</v>
      </c>
      <c r="Q33" s="356"/>
      <c r="R33" s="356">
        <f ca="1">SUMPRODUCT(--(MOD(ROW(Fringe7:Fringe7:OFFSET(TotalFringe7,-2,0))-ROW(Fringe7)+0,2)=0),Fringe7:Fringe7:OFFSET(TotalFringe7,-2,0))</f>
        <v>0</v>
      </c>
      <c r="S33" s="356"/>
      <c r="T33" s="356">
        <f ca="1">SUMPRODUCT(--(MOD(ROW(Fringe8:Fringe8:OFFSET(TotalFringe8,-2,0))-ROW(Fringe8)+0,2)=0),Fringe8:Fringe8:OFFSET(TotalFringe8,-2,0))</f>
        <v>0</v>
      </c>
      <c r="U33" s="356"/>
      <c r="V33" s="356">
        <f ca="1">SUMPRODUCT(--(MOD(ROW(Fringe9:Fringe9:OFFSET(TotalFringe9,-2,0))-ROW(Fringe9)+0,2)=0),Fringe9:Fringe9:OFFSET(TotalFringe9,-2,0))</f>
        <v>0</v>
      </c>
      <c r="W33" s="356"/>
      <c r="X33" s="356">
        <f ca="1">SUMPRODUCT(--(MOD(ROW(Fringe10:Fringe10:OFFSET(TotalFringe10,-2,0))-ROW(Fringe10)+0,2)=0),Fringe10:Fringe10:OFFSET(TotalFringe10,-2,0))</f>
        <v>0</v>
      </c>
      <c r="Y33" s="356"/>
      <c r="Z33" s="151">
        <f ca="1">SUM(F33:Y33)</f>
        <v>0</v>
      </c>
      <c r="AA33" s="330"/>
    </row>
    <row r="34" spans="1:27" ht="15" customHeight="1" thickBot="1" x14ac:dyDescent="0.3">
      <c r="A34" s="401" t="s">
        <v>231</v>
      </c>
      <c r="B34" s="401"/>
      <c r="C34" s="401"/>
      <c r="D34" s="401"/>
      <c r="E34" s="401"/>
      <c r="F34" s="362">
        <f ca="1">TotalSalary1+TotalFringe1</f>
        <v>0</v>
      </c>
      <c r="G34" s="362"/>
      <c r="H34" s="362">
        <f ca="1">TotalSalary2+TotalFringe2</f>
        <v>0</v>
      </c>
      <c r="I34" s="362"/>
      <c r="J34" s="362">
        <f ca="1">TotalSalary3+TotalFringe3</f>
        <v>0</v>
      </c>
      <c r="K34" s="362"/>
      <c r="L34" s="362">
        <f ca="1">TotalSalary4+TotalFringe4</f>
        <v>0</v>
      </c>
      <c r="M34" s="362"/>
      <c r="N34" s="362">
        <f ca="1">TotalSalary5+TotalFringe5</f>
        <v>0</v>
      </c>
      <c r="O34" s="362"/>
      <c r="P34" s="362">
        <f ca="1">TotalSalary6+TotalFringe6</f>
        <v>0</v>
      </c>
      <c r="Q34" s="362"/>
      <c r="R34" s="362">
        <f ca="1">TotalSalary7+TotalFringe7</f>
        <v>0</v>
      </c>
      <c r="S34" s="362"/>
      <c r="T34" s="362">
        <f ca="1">TotalSalary8+TotalFringe8</f>
        <v>0</v>
      </c>
      <c r="U34" s="362"/>
      <c r="V34" s="362">
        <f ca="1">TotalSalary9+TotalFringe9</f>
        <v>0</v>
      </c>
      <c r="W34" s="362"/>
      <c r="X34" s="362">
        <f ca="1">TotalSalary10+TotalFringe10</f>
        <v>0</v>
      </c>
      <c r="Y34" s="362"/>
      <c r="Z34" s="177">
        <f ca="1">SUM(F34:Y34)</f>
        <v>0</v>
      </c>
      <c r="AA34" s="330"/>
    </row>
    <row r="35" spans="1:27" ht="15" customHeight="1" x14ac:dyDescent="0.25">
      <c r="A35" s="372" t="s">
        <v>66</v>
      </c>
      <c r="B35" s="372"/>
      <c r="C35" s="372"/>
      <c r="D35" s="372"/>
      <c r="E35" s="372"/>
      <c r="F35" s="178"/>
      <c r="G35" s="179"/>
      <c r="H35" s="179"/>
      <c r="I35" s="179"/>
      <c r="J35" s="179"/>
      <c r="K35" s="179"/>
      <c r="L35" s="179"/>
      <c r="M35" s="179"/>
      <c r="N35" s="179"/>
      <c r="O35" s="179"/>
      <c r="P35" s="179"/>
      <c r="Q35" s="179"/>
      <c r="R35" s="179"/>
      <c r="S35" s="179"/>
      <c r="T35" s="179"/>
      <c r="U35" s="179"/>
      <c r="V35" s="179"/>
      <c r="W35" s="179"/>
      <c r="X35" s="179"/>
      <c r="Y35" s="179"/>
      <c r="Z35" s="15"/>
      <c r="AA35" s="330"/>
    </row>
    <row r="36" spans="1:27" ht="15" customHeight="1" x14ac:dyDescent="0.25">
      <c r="A36" s="10" t="s">
        <v>11</v>
      </c>
      <c r="B36" s="399" t="s">
        <v>15</v>
      </c>
      <c r="C36" s="399"/>
      <c r="D36" s="399"/>
      <c r="E36" s="399"/>
      <c r="F36" s="63"/>
      <c r="G36" s="64"/>
      <c r="H36" s="64"/>
      <c r="I36" s="64"/>
      <c r="J36" s="64"/>
      <c r="K36" s="64"/>
      <c r="L36" s="64"/>
      <c r="M36" s="64"/>
      <c r="N36" s="64"/>
      <c r="O36" s="64"/>
      <c r="P36" s="64"/>
      <c r="Q36" s="64"/>
      <c r="R36" s="64"/>
      <c r="S36" s="64"/>
      <c r="T36" s="64"/>
      <c r="U36" s="64"/>
      <c r="V36" s="64"/>
      <c r="W36" s="64"/>
      <c r="X36" s="64"/>
      <c r="Y36" s="64"/>
      <c r="Z36" s="65"/>
      <c r="AA36" s="331"/>
    </row>
    <row r="37" spans="1:27" ht="15" customHeight="1" x14ac:dyDescent="0.25">
      <c r="A37" s="152"/>
      <c r="B37" s="367"/>
      <c r="C37" s="367"/>
      <c r="D37" s="367"/>
      <c r="E37" s="367"/>
      <c r="F37" s="360"/>
      <c r="G37" s="360"/>
      <c r="H37" s="360"/>
      <c r="I37" s="360"/>
      <c r="J37" s="360"/>
      <c r="K37" s="360"/>
      <c r="L37" s="360"/>
      <c r="M37" s="360"/>
      <c r="N37" s="360"/>
      <c r="O37" s="360"/>
      <c r="P37" s="360"/>
      <c r="Q37" s="360"/>
      <c r="R37" s="360"/>
      <c r="S37" s="360"/>
      <c r="T37" s="360"/>
      <c r="U37" s="360"/>
      <c r="V37" s="360"/>
      <c r="W37" s="360"/>
      <c r="X37" s="360"/>
      <c r="Y37" s="360"/>
      <c r="Z37" s="149">
        <f>SUM(F37:Y37)</f>
        <v>0</v>
      </c>
      <c r="AA37" s="328"/>
    </row>
    <row r="38" spans="1:27" ht="15" customHeight="1" x14ac:dyDescent="0.25">
      <c r="A38" s="152"/>
      <c r="B38" s="367"/>
      <c r="C38" s="367"/>
      <c r="D38" s="367"/>
      <c r="E38" s="367"/>
      <c r="F38" s="360"/>
      <c r="G38" s="360"/>
      <c r="H38" s="360"/>
      <c r="I38" s="360"/>
      <c r="J38" s="360"/>
      <c r="K38" s="360"/>
      <c r="L38" s="360"/>
      <c r="M38" s="360"/>
      <c r="N38" s="360"/>
      <c r="O38" s="360"/>
      <c r="P38" s="360"/>
      <c r="Q38" s="360"/>
      <c r="R38" s="360"/>
      <c r="S38" s="360"/>
      <c r="T38" s="360"/>
      <c r="U38" s="360"/>
      <c r="V38" s="360"/>
      <c r="W38" s="360"/>
      <c r="X38" s="360"/>
      <c r="Y38" s="360"/>
      <c r="Z38" s="149">
        <f>SUM(F38:Y38)</f>
        <v>0</v>
      </c>
      <c r="AA38" s="328"/>
    </row>
    <row r="39" spans="1:27" ht="15" customHeight="1" thickBot="1" x14ac:dyDescent="0.3">
      <c r="A39" s="370" t="s">
        <v>68</v>
      </c>
      <c r="B39" s="370"/>
      <c r="C39" s="370"/>
      <c r="D39" s="370"/>
      <c r="E39" s="370"/>
      <c r="F39" s="361">
        <f>SUM(F37:F38)</f>
        <v>0</v>
      </c>
      <c r="G39" s="361"/>
      <c r="H39" s="361">
        <f>SUM(H37:H38)</f>
        <v>0</v>
      </c>
      <c r="I39" s="361"/>
      <c r="J39" s="361">
        <f>SUM(J37:J38)</f>
        <v>0</v>
      </c>
      <c r="K39" s="361"/>
      <c r="L39" s="361">
        <f>SUM(L37:L38)</f>
        <v>0</v>
      </c>
      <c r="M39" s="361"/>
      <c r="N39" s="361">
        <f>SUM(N37:N38)</f>
        <v>0</v>
      </c>
      <c r="O39" s="361"/>
      <c r="P39" s="361">
        <f>SUM(P37:P38)</f>
        <v>0</v>
      </c>
      <c r="Q39" s="361"/>
      <c r="R39" s="361">
        <f>SUM(R37:R38)</f>
        <v>0</v>
      </c>
      <c r="S39" s="361"/>
      <c r="T39" s="361">
        <f>SUM(T37:T38)</f>
        <v>0</v>
      </c>
      <c r="U39" s="361"/>
      <c r="V39" s="361">
        <f>SUM(V37:V38)</f>
        <v>0</v>
      </c>
      <c r="W39" s="361"/>
      <c r="X39" s="361">
        <f>SUM(X37:X38)</f>
        <v>0</v>
      </c>
      <c r="Y39" s="361"/>
      <c r="Z39" s="177">
        <f>SUM(F39:Y39)</f>
        <v>0</v>
      </c>
      <c r="AA39" s="330"/>
    </row>
    <row r="40" spans="1:27" ht="15" customHeight="1" x14ac:dyDescent="0.25">
      <c r="A40" s="372" t="s">
        <v>67</v>
      </c>
      <c r="B40" s="372"/>
      <c r="C40" s="372"/>
      <c r="D40" s="372"/>
      <c r="E40" s="372"/>
      <c r="F40" s="178"/>
      <c r="G40" s="179"/>
      <c r="H40" s="179"/>
      <c r="I40" s="179"/>
      <c r="J40" s="179"/>
      <c r="K40" s="179"/>
      <c r="L40" s="179"/>
      <c r="M40" s="179"/>
      <c r="N40" s="179"/>
      <c r="O40" s="179"/>
      <c r="P40" s="179"/>
      <c r="Q40" s="179"/>
      <c r="R40" s="179"/>
      <c r="S40" s="179"/>
      <c r="T40" s="179"/>
      <c r="U40" s="179"/>
      <c r="V40" s="179"/>
      <c r="W40" s="179"/>
      <c r="X40" s="179"/>
      <c r="Y40" s="179"/>
      <c r="Z40" s="15"/>
      <c r="AA40" s="330"/>
    </row>
    <row r="41" spans="1:27" ht="15" customHeight="1" x14ac:dyDescent="0.25">
      <c r="A41" s="10" t="s">
        <v>11</v>
      </c>
      <c r="B41" s="399" t="s">
        <v>15</v>
      </c>
      <c r="C41" s="399"/>
      <c r="D41" s="399"/>
      <c r="E41" s="399"/>
      <c r="F41" s="63"/>
      <c r="G41" s="64"/>
      <c r="H41" s="64"/>
      <c r="I41" s="64"/>
      <c r="J41" s="64"/>
      <c r="K41" s="64"/>
      <c r="L41" s="64"/>
      <c r="M41" s="64"/>
      <c r="N41" s="64"/>
      <c r="O41" s="64"/>
      <c r="P41" s="64"/>
      <c r="Q41" s="64"/>
      <c r="R41" s="64"/>
      <c r="S41" s="64"/>
      <c r="T41" s="64"/>
      <c r="U41" s="64"/>
      <c r="V41" s="64"/>
      <c r="W41" s="64"/>
      <c r="X41" s="64"/>
      <c r="Y41" s="64"/>
      <c r="Z41" s="65"/>
      <c r="AA41" s="331"/>
    </row>
    <row r="42" spans="1:27" ht="15" customHeight="1" x14ac:dyDescent="0.25">
      <c r="A42" s="152"/>
      <c r="B42" s="367"/>
      <c r="C42" s="367"/>
      <c r="D42" s="367"/>
      <c r="E42" s="367"/>
      <c r="F42" s="360"/>
      <c r="G42" s="360"/>
      <c r="H42" s="360"/>
      <c r="I42" s="360"/>
      <c r="J42" s="360"/>
      <c r="K42" s="360"/>
      <c r="L42" s="360"/>
      <c r="M42" s="360"/>
      <c r="N42" s="360"/>
      <c r="O42" s="360"/>
      <c r="P42" s="360"/>
      <c r="Q42" s="360"/>
      <c r="R42" s="360"/>
      <c r="S42" s="360"/>
      <c r="T42" s="360"/>
      <c r="U42" s="360"/>
      <c r="V42" s="360"/>
      <c r="W42" s="360"/>
      <c r="X42" s="360"/>
      <c r="Y42" s="360"/>
      <c r="Z42" s="149">
        <f>SUM(F42:Y42)</f>
        <v>0</v>
      </c>
      <c r="AA42" s="328"/>
    </row>
    <row r="43" spans="1:27" ht="15" customHeight="1" x14ac:dyDescent="0.25">
      <c r="A43" s="152"/>
      <c r="B43" s="367"/>
      <c r="C43" s="367"/>
      <c r="D43" s="367"/>
      <c r="E43" s="367"/>
      <c r="F43" s="360"/>
      <c r="G43" s="360"/>
      <c r="H43" s="360"/>
      <c r="I43" s="360"/>
      <c r="J43" s="360"/>
      <c r="K43" s="360"/>
      <c r="L43" s="360"/>
      <c r="M43" s="360"/>
      <c r="N43" s="360"/>
      <c r="O43" s="360"/>
      <c r="P43" s="360"/>
      <c r="Q43" s="360"/>
      <c r="R43" s="360"/>
      <c r="S43" s="360"/>
      <c r="T43" s="360"/>
      <c r="U43" s="360"/>
      <c r="V43" s="360"/>
      <c r="W43" s="360"/>
      <c r="X43" s="360"/>
      <c r="Y43" s="360"/>
      <c r="Z43" s="149">
        <f>SUM(F43:Y43)</f>
        <v>0</v>
      </c>
      <c r="AA43" s="328"/>
    </row>
    <row r="44" spans="1:27" ht="15" customHeight="1" thickBot="1" x14ac:dyDescent="0.3">
      <c r="A44" s="370" t="s">
        <v>69</v>
      </c>
      <c r="B44" s="370"/>
      <c r="C44" s="370"/>
      <c r="D44" s="370"/>
      <c r="E44" s="370"/>
      <c r="F44" s="361">
        <f>SUM(F42:F43)</f>
        <v>0</v>
      </c>
      <c r="G44" s="361"/>
      <c r="H44" s="361">
        <f>SUM(H42:H43)</f>
        <v>0</v>
      </c>
      <c r="I44" s="361"/>
      <c r="J44" s="361">
        <f>SUM(J42:J43)</f>
        <v>0</v>
      </c>
      <c r="K44" s="361"/>
      <c r="L44" s="361">
        <f>SUM(L42:L43)</f>
        <v>0</v>
      </c>
      <c r="M44" s="361"/>
      <c r="N44" s="361">
        <f>SUM(N42:N43)</f>
        <v>0</v>
      </c>
      <c r="O44" s="361"/>
      <c r="P44" s="361">
        <f>SUM(P42:P43)</f>
        <v>0</v>
      </c>
      <c r="Q44" s="361"/>
      <c r="R44" s="361">
        <f>SUM(R42:R43)</f>
        <v>0</v>
      </c>
      <c r="S44" s="361"/>
      <c r="T44" s="361">
        <f>SUM(T42:T43)</f>
        <v>0</v>
      </c>
      <c r="U44" s="361"/>
      <c r="V44" s="361">
        <f>SUM(V42:V43)</f>
        <v>0</v>
      </c>
      <c r="W44" s="361"/>
      <c r="X44" s="361">
        <f>SUM(X42:X43)</f>
        <v>0</v>
      </c>
      <c r="Y44" s="361"/>
      <c r="Z44" s="177">
        <f>SUM(F44:Y44)</f>
        <v>0</v>
      </c>
      <c r="AA44" s="330"/>
    </row>
    <row r="45" spans="1:27" ht="15" customHeight="1" x14ac:dyDescent="0.25">
      <c r="A45" s="372" t="s">
        <v>29</v>
      </c>
      <c r="B45" s="372"/>
      <c r="C45" s="372"/>
      <c r="D45" s="372"/>
      <c r="E45" s="372"/>
      <c r="F45" s="178"/>
      <c r="G45" s="179"/>
      <c r="H45" s="179"/>
      <c r="I45" s="179"/>
      <c r="J45" s="179"/>
      <c r="K45" s="179"/>
      <c r="L45" s="179"/>
      <c r="M45" s="179"/>
      <c r="N45" s="179"/>
      <c r="O45" s="179"/>
      <c r="P45" s="179"/>
      <c r="Q45" s="179"/>
      <c r="R45" s="179"/>
      <c r="S45" s="179"/>
      <c r="T45" s="179"/>
      <c r="U45" s="179"/>
      <c r="V45" s="179"/>
      <c r="W45" s="179"/>
      <c r="X45" s="179"/>
      <c r="Y45" s="179"/>
      <c r="Z45" s="15"/>
      <c r="AA45" s="330"/>
    </row>
    <row r="46" spans="1:27" ht="15" customHeight="1" x14ac:dyDescent="0.25">
      <c r="A46" s="399" t="s">
        <v>16</v>
      </c>
      <c r="B46" s="399"/>
      <c r="C46" s="399"/>
      <c r="D46" s="399"/>
      <c r="E46" s="399"/>
      <c r="F46" s="63"/>
      <c r="G46" s="64"/>
      <c r="H46" s="64"/>
      <c r="I46" s="64"/>
      <c r="J46" s="64"/>
      <c r="K46" s="64"/>
      <c r="L46" s="64"/>
      <c r="M46" s="64"/>
      <c r="N46" s="64"/>
      <c r="O46" s="64"/>
      <c r="P46" s="64"/>
      <c r="Q46" s="64"/>
      <c r="R46" s="64"/>
      <c r="S46" s="64"/>
      <c r="T46" s="64"/>
      <c r="U46" s="64"/>
      <c r="V46" s="64"/>
      <c r="W46" s="64"/>
      <c r="X46" s="64"/>
      <c r="Y46" s="64"/>
      <c r="Z46" s="65"/>
      <c r="AA46" s="331"/>
    </row>
    <row r="47" spans="1:27" ht="15" customHeight="1" x14ac:dyDescent="0.25">
      <c r="A47" s="400"/>
      <c r="B47" s="400"/>
      <c r="C47" s="400"/>
      <c r="D47" s="400"/>
      <c r="E47" s="400"/>
      <c r="F47" s="360"/>
      <c r="G47" s="360"/>
      <c r="H47" s="360"/>
      <c r="I47" s="360"/>
      <c r="J47" s="360"/>
      <c r="K47" s="360"/>
      <c r="L47" s="360"/>
      <c r="M47" s="360"/>
      <c r="N47" s="360"/>
      <c r="O47" s="360"/>
      <c r="P47" s="360"/>
      <c r="Q47" s="360"/>
      <c r="R47" s="360"/>
      <c r="S47" s="360"/>
      <c r="T47" s="360"/>
      <c r="U47" s="360"/>
      <c r="V47" s="360"/>
      <c r="W47" s="360"/>
      <c r="X47" s="360"/>
      <c r="Y47" s="360"/>
      <c r="Z47" s="149">
        <f>SUM(F47:Y47)</f>
        <v>0</v>
      </c>
      <c r="AA47" s="328"/>
    </row>
    <row r="48" spans="1:27" ht="15" customHeight="1" x14ac:dyDescent="0.25">
      <c r="A48" s="400"/>
      <c r="B48" s="400"/>
      <c r="C48" s="400"/>
      <c r="D48" s="400"/>
      <c r="E48" s="400"/>
      <c r="F48" s="360"/>
      <c r="G48" s="360"/>
      <c r="H48" s="360"/>
      <c r="I48" s="360"/>
      <c r="J48" s="360"/>
      <c r="K48" s="360"/>
      <c r="L48" s="360"/>
      <c r="M48" s="360"/>
      <c r="N48" s="360"/>
      <c r="O48" s="360"/>
      <c r="P48" s="360"/>
      <c r="Q48" s="360"/>
      <c r="R48" s="360"/>
      <c r="S48" s="360"/>
      <c r="T48" s="360"/>
      <c r="U48" s="360"/>
      <c r="V48" s="360"/>
      <c r="W48" s="360"/>
      <c r="X48" s="360"/>
      <c r="Y48" s="360"/>
      <c r="Z48" s="149">
        <f>SUM(F48:Y48)</f>
        <v>0</v>
      </c>
      <c r="AA48" s="328"/>
    </row>
    <row r="49" spans="1:27" ht="15" customHeight="1" x14ac:dyDescent="0.25">
      <c r="A49" s="400"/>
      <c r="B49" s="400"/>
      <c r="C49" s="400"/>
      <c r="D49" s="400"/>
      <c r="E49" s="400"/>
      <c r="F49" s="360"/>
      <c r="G49" s="360"/>
      <c r="H49" s="360"/>
      <c r="I49" s="360"/>
      <c r="J49" s="360"/>
      <c r="K49" s="360"/>
      <c r="L49" s="360"/>
      <c r="M49" s="360"/>
      <c r="N49" s="360"/>
      <c r="O49" s="360"/>
      <c r="P49" s="360"/>
      <c r="Q49" s="360"/>
      <c r="R49" s="360"/>
      <c r="S49" s="360"/>
      <c r="T49" s="360"/>
      <c r="U49" s="360"/>
      <c r="V49" s="360"/>
      <c r="W49" s="360"/>
      <c r="X49" s="360"/>
      <c r="Y49" s="360"/>
      <c r="Z49" s="149">
        <f t="shared" ref="Z49:Z50" si="0">SUM(F49:Y49)</f>
        <v>0</v>
      </c>
      <c r="AA49" s="328"/>
    </row>
    <row r="50" spans="1:27" ht="15" customHeight="1" x14ac:dyDescent="0.25">
      <c r="A50" s="400"/>
      <c r="B50" s="400"/>
      <c r="C50" s="400"/>
      <c r="D50" s="400"/>
      <c r="E50" s="400"/>
      <c r="F50" s="360"/>
      <c r="G50" s="360"/>
      <c r="H50" s="360"/>
      <c r="I50" s="360"/>
      <c r="J50" s="360"/>
      <c r="K50" s="360"/>
      <c r="L50" s="360"/>
      <c r="M50" s="360"/>
      <c r="N50" s="360"/>
      <c r="O50" s="360"/>
      <c r="P50" s="360"/>
      <c r="Q50" s="360"/>
      <c r="R50" s="360"/>
      <c r="S50" s="360"/>
      <c r="T50" s="360"/>
      <c r="U50" s="360"/>
      <c r="V50" s="360"/>
      <c r="W50" s="360"/>
      <c r="X50" s="360"/>
      <c r="Y50" s="360"/>
      <c r="Z50" s="149">
        <f t="shared" si="0"/>
        <v>0</v>
      </c>
      <c r="AA50" s="328"/>
    </row>
    <row r="51" spans="1:27" ht="15" customHeight="1" x14ac:dyDescent="0.25">
      <c r="A51" s="400"/>
      <c r="B51" s="400"/>
      <c r="C51" s="400"/>
      <c r="D51" s="400"/>
      <c r="E51" s="400"/>
      <c r="F51" s="360"/>
      <c r="G51" s="360"/>
      <c r="H51" s="360"/>
      <c r="I51" s="360"/>
      <c r="J51" s="360"/>
      <c r="K51" s="360"/>
      <c r="L51" s="360"/>
      <c r="M51" s="360"/>
      <c r="N51" s="360"/>
      <c r="O51" s="360"/>
      <c r="P51" s="360"/>
      <c r="Q51" s="360"/>
      <c r="R51" s="360"/>
      <c r="S51" s="360"/>
      <c r="T51" s="360"/>
      <c r="U51" s="360"/>
      <c r="V51" s="360"/>
      <c r="W51" s="360"/>
      <c r="X51" s="360"/>
      <c r="Y51" s="360"/>
      <c r="Z51" s="149">
        <f>SUM(F51:Y51)</f>
        <v>0</v>
      </c>
      <c r="AA51" s="328"/>
    </row>
    <row r="52" spans="1:27" ht="15" customHeight="1" thickBot="1" x14ac:dyDescent="0.3">
      <c r="A52" s="370" t="s">
        <v>58</v>
      </c>
      <c r="B52" s="370"/>
      <c r="C52" s="370"/>
      <c r="D52" s="370"/>
      <c r="E52" s="370"/>
      <c r="F52" s="361">
        <f>SUM(F47:F51)</f>
        <v>0</v>
      </c>
      <c r="G52" s="361"/>
      <c r="H52" s="361">
        <f>SUM(H47:H51)</f>
        <v>0</v>
      </c>
      <c r="I52" s="361"/>
      <c r="J52" s="361">
        <f>SUM(J47:J51)</f>
        <v>0</v>
      </c>
      <c r="K52" s="361"/>
      <c r="L52" s="361">
        <f>SUM(L47:L51)</f>
        <v>0</v>
      </c>
      <c r="M52" s="361"/>
      <c r="N52" s="361">
        <f>SUM(N47:N51)</f>
        <v>0</v>
      </c>
      <c r="O52" s="361"/>
      <c r="P52" s="361">
        <f>SUM(P47:P51)</f>
        <v>0</v>
      </c>
      <c r="Q52" s="361"/>
      <c r="R52" s="361">
        <f>SUM(R47:R51)</f>
        <v>0</v>
      </c>
      <c r="S52" s="361"/>
      <c r="T52" s="361">
        <f>SUM(T47:T51)</f>
        <v>0</v>
      </c>
      <c r="U52" s="361"/>
      <c r="V52" s="361">
        <f>SUM(V47:V51)</f>
        <v>0</v>
      </c>
      <c r="W52" s="361"/>
      <c r="X52" s="361">
        <f>SUM(X47:X51)</f>
        <v>0</v>
      </c>
      <c r="Y52" s="361"/>
      <c r="Z52" s="177">
        <f>SUM(F52:Y52)</f>
        <v>0</v>
      </c>
      <c r="AA52" s="330"/>
    </row>
    <row r="53" spans="1:27" ht="15" customHeight="1" x14ac:dyDescent="0.25">
      <c r="A53" s="372" t="s">
        <v>30</v>
      </c>
      <c r="B53" s="372"/>
      <c r="C53" s="372"/>
      <c r="D53" s="372"/>
      <c r="E53" s="372"/>
      <c r="F53" s="178"/>
      <c r="G53" s="179"/>
      <c r="H53" s="179"/>
      <c r="I53" s="179"/>
      <c r="J53" s="179"/>
      <c r="K53" s="179"/>
      <c r="L53" s="179"/>
      <c r="M53" s="179"/>
      <c r="N53" s="179"/>
      <c r="O53" s="179"/>
      <c r="P53" s="179"/>
      <c r="Q53" s="179"/>
      <c r="R53" s="179"/>
      <c r="S53" s="179"/>
      <c r="T53" s="179"/>
      <c r="U53" s="179"/>
      <c r="V53" s="179"/>
      <c r="W53" s="179"/>
      <c r="X53" s="179"/>
      <c r="Y53" s="179"/>
      <c r="Z53" s="15"/>
      <c r="AA53" s="330"/>
    </row>
    <row r="54" spans="1:27" ht="15" customHeight="1" x14ac:dyDescent="0.25">
      <c r="A54" s="9" t="s">
        <v>14</v>
      </c>
      <c r="B54" s="378" t="s">
        <v>17</v>
      </c>
      <c r="C54" s="378"/>
      <c r="D54" s="378"/>
      <c r="E54" s="378"/>
      <c r="F54" s="63"/>
      <c r="G54" s="64"/>
      <c r="H54" s="64"/>
      <c r="I54" s="64"/>
      <c r="J54" s="64"/>
      <c r="K54" s="64"/>
      <c r="L54" s="64"/>
      <c r="M54" s="64"/>
      <c r="N54" s="64"/>
      <c r="O54" s="64"/>
      <c r="P54" s="64"/>
      <c r="Q54" s="64"/>
      <c r="R54" s="64"/>
      <c r="S54" s="64"/>
      <c r="T54" s="64"/>
      <c r="U54" s="64"/>
      <c r="V54" s="64"/>
      <c r="W54" s="64"/>
      <c r="X54" s="64"/>
      <c r="Y54" s="64"/>
      <c r="Z54" s="65"/>
      <c r="AA54" s="331"/>
    </row>
    <row r="55" spans="1:27" ht="15" customHeight="1" x14ac:dyDescent="0.25">
      <c r="A55" s="152" t="s">
        <v>232</v>
      </c>
      <c r="B55" s="367"/>
      <c r="C55" s="367"/>
      <c r="D55" s="367"/>
      <c r="E55" s="367"/>
      <c r="F55" s="360"/>
      <c r="G55" s="360"/>
      <c r="H55" s="360"/>
      <c r="I55" s="360"/>
      <c r="J55" s="360"/>
      <c r="K55" s="360"/>
      <c r="L55" s="360"/>
      <c r="M55" s="360"/>
      <c r="N55" s="360"/>
      <c r="O55" s="360"/>
      <c r="P55" s="360"/>
      <c r="Q55" s="360"/>
      <c r="R55" s="360"/>
      <c r="S55" s="360"/>
      <c r="T55" s="360"/>
      <c r="U55" s="360"/>
      <c r="V55" s="360"/>
      <c r="W55" s="360"/>
      <c r="X55" s="360"/>
      <c r="Y55" s="360"/>
      <c r="Z55" s="149">
        <f>SUM(F55:Y55)</f>
        <v>0</v>
      </c>
      <c r="AA55" s="328"/>
    </row>
    <row r="56" spans="1:27" ht="15" customHeight="1" x14ac:dyDescent="0.25">
      <c r="A56" s="152" t="s">
        <v>232</v>
      </c>
      <c r="B56" s="367"/>
      <c r="C56" s="367"/>
      <c r="D56" s="367"/>
      <c r="E56" s="367"/>
      <c r="F56" s="360"/>
      <c r="G56" s="360"/>
      <c r="H56" s="360"/>
      <c r="I56" s="360"/>
      <c r="J56" s="360"/>
      <c r="K56" s="360"/>
      <c r="L56" s="360"/>
      <c r="M56" s="360"/>
      <c r="N56" s="360"/>
      <c r="O56" s="360"/>
      <c r="P56" s="360"/>
      <c r="Q56" s="360"/>
      <c r="R56" s="360"/>
      <c r="S56" s="360"/>
      <c r="T56" s="360"/>
      <c r="U56" s="360"/>
      <c r="V56" s="360"/>
      <c r="W56" s="360"/>
      <c r="X56" s="360"/>
      <c r="Y56" s="360"/>
      <c r="Z56" s="149">
        <f>SUM(F56:Y56)</f>
        <v>0</v>
      </c>
      <c r="AA56" s="328"/>
    </row>
    <row r="57" spans="1:27" ht="15" customHeight="1" thickBot="1" x14ac:dyDescent="0.3">
      <c r="A57" s="370" t="s">
        <v>59</v>
      </c>
      <c r="B57" s="370"/>
      <c r="C57" s="370"/>
      <c r="D57" s="370"/>
      <c r="E57" s="370"/>
      <c r="F57" s="361">
        <f>SUM(F55:F56)</f>
        <v>0</v>
      </c>
      <c r="G57" s="361"/>
      <c r="H57" s="361">
        <f>SUM(H55:H56)</f>
        <v>0</v>
      </c>
      <c r="I57" s="361"/>
      <c r="J57" s="361">
        <f>SUM(J55:J56)</f>
        <v>0</v>
      </c>
      <c r="K57" s="361"/>
      <c r="L57" s="361">
        <f>SUM(L55:L56)</f>
        <v>0</v>
      </c>
      <c r="M57" s="361"/>
      <c r="N57" s="361">
        <f>SUM(N55:N56)</f>
        <v>0</v>
      </c>
      <c r="O57" s="361"/>
      <c r="P57" s="361">
        <f>SUM(P55:P56)</f>
        <v>0</v>
      </c>
      <c r="Q57" s="361"/>
      <c r="R57" s="361">
        <f>SUM(R55:R56)</f>
        <v>0</v>
      </c>
      <c r="S57" s="361"/>
      <c r="T57" s="361">
        <f>SUM(T55:T56)</f>
        <v>0</v>
      </c>
      <c r="U57" s="361"/>
      <c r="V57" s="361">
        <f>SUM(V55:V56)</f>
        <v>0</v>
      </c>
      <c r="W57" s="361"/>
      <c r="X57" s="361">
        <f>SUM(X55:X56)</f>
        <v>0</v>
      </c>
      <c r="Y57" s="361"/>
      <c r="Z57" s="177">
        <f>SUM(F57:Y57)</f>
        <v>0</v>
      </c>
      <c r="AA57" s="330"/>
    </row>
    <row r="58" spans="1:27" ht="15" customHeight="1" x14ac:dyDescent="0.25">
      <c r="A58" s="372" t="s">
        <v>411</v>
      </c>
      <c r="B58" s="372"/>
      <c r="C58" s="372"/>
      <c r="D58" s="372"/>
      <c r="E58" s="372"/>
      <c r="F58" s="178"/>
      <c r="G58" s="179"/>
      <c r="H58" s="179"/>
      <c r="I58" s="179"/>
      <c r="J58" s="179"/>
      <c r="K58" s="179"/>
      <c r="L58" s="179"/>
      <c r="M58" s="179"/>
      <c r="N58" s="179"/>
      <c r="O58" s="179"/>
      <c r="P58" s="179"/>
      <c r="Q58" s="179"/>
      <c r="R58" s="179"/>
      <c r="S58" s="179"/>
      <c r="T58" s="179"/>
      <c r="U58" s="179"/>
      <c r="V58" s="179"/>
      <c r="W58" s="179"/>
      <c r="X58" s="179"/>
      <c r="Y58" s="179"/>
      <c r="Z58" s="15"/>
      <c r="AA58" s="330"/>
    </row>
    <row r="59" spans="1:27" ht="15" customHeight="1" x14ac:dyDescent="0.25">
      <c r="A59" s="10" t="s">
        <v>72</v>
      </c>
      <c r="B59" s="378" t="s">
        <v>412</v>
      </c>
      <c r="C59" s="378"/>
      <c r="D59" s="369"/>
      <c r="E59" s="369"/>
      <c r="F59" s="63"/>
      <c r="G59" s="64"/>
      <c r="H59" s="64"/>
      <c r="I59" s="64"/>
      <c r="J59" s="64"/>
      <c r="K59" s="64"/>
      <c r="L59" s="64"/>
      <c r="M59" s="64"/>
      <c r="N59" s="64"/>
      <c r="O59" s="64"/>
      <c r="P59" s="64"/>
      <c r="Q59" s="64"/>
      <c r="R59" s="64"/>
      <c r="S59" s="64"/>
      <c r="T59" s="64"/>
      <c r="U59" s="64"/>
      <c r="V59" s="64"/>
      <c r="W59" s="64"/>
      <c r="X59" s="64"/>
      <c r="Y59" s="64"/>
      <c r="Z59" s="65"/>
      <c r="AA59" s="330"/>
    </row>
    <row r="60" spans="1:27" ht="15" customHeight="1" x14ac:dyDescent="0.25">
      <c r="A60" s="368"/>
      <c r="B60" s="368"/>
      <c r="C60" s="368"/>
      <c r="D60" s="363" t="s">
        <v>413</v>
      </c>
      <c r="E60" s="363"/>
      <c r="F60" s="360"/>
      <c r="G60" s="360"/>
      <c r="H60" s="360"/>
      <c r="I60" s="360"/>
      <c r="J60" s="360"/>
      <c r="K60" s="360"/>
      <c r="L60" s="360"/>
      <c r="M60" s="360"/>
      <c r="N60" s="360"/>
      <c r="O60" s="360"/>
      <c r="P60" s="360"/>
      <c r="Q60" s="360"/>
      <c r="R60" s="360"/>
      <c r="S60" s="360"/>
      <c r="T60" s="360"/>
      <c r="U60" s="360"/>
      <c r="V60" s="360"/>
      <c r="W60" s="360"/>
      <c r="X60" s="360"/>
      <c r="Y60" s="360"/>
      <c r="Z60" s="116"/>
      <c r="AA60" s="330"/>
    </row>
    <row r="61" spans="1:27" ht="15" customHeight="1" x14ac:dyDescent="0.25">
      <c r="A61" s="368"/>
      <c r="B61" s="368"/>
      <c r="C61" s="368"/>
      <c r="D61" s="363" t="s">
        <v>414</v>
      </c>
      <c r="E61" s="363"/>
      <c r="F61" s="360"/>
      <c r="G61" s="360"/>
      <c r="H61" s="360"/>
      <c r="I61" s="360"/>
      <c r="J61" s="360"/>
      <c r="K61" s="360"/>
      <c r="L61" s="360"/>
      <c r="M61" s="360"/>
      <c r="N61" s="360"/>
      <c r="O61" s="360"/>
      <c r="P61" s="360"/>
      <c r="Q61" s="360"/>
      <c r="R61" s="360"/>
      <c r="S61" s="360"/>
      <c r="T61" s="360"/>
      <c r="U61" s="360"/>
      <c r="V61" s="360"/>
      <c r="W61" s="360"/>
      <c r="X61" s="360"/>
      <c r="Y61" s="360"/>
      <c r="Z61" s="115"/>
      <c r="AA61" s="330"/>
    </row>
    <row r="62" spans="1:27" ht="15" customHeight="1" x14ac:dyDescent="0.25">
      <c r="A62" s="368"/>
      <c r="B62" s="368"/>
      <c r="C62" s="368"/>
      <c r="D62" s="363" t="s">
        <v>415</v>
      </c>
      <c r="E62" s="363"/>
      <c r="F62" s="357">
        <f>SUM(F60:G61)</f>
        <v>0</v>
      </c>
      <c r="G62" s="357"/>
      <c r="H62" s="357">
        <f>SUM(H60:I61)</f>
        <v>0</v>
      </c>
      <c r="I62" s="357"/>
      <c r="J62" s="357">
        <f>SUM(J60:K61)</f>
        <v>0</v>
      </c>
      <c r="K62" s="357"/>
      <c r="L62" s="357">
        <f>SUM(L60:M61)</f>
        <v>0</v>
      </c>
      <c r="M62" s="357"/>
      <c r="N62" s="357">
        <f>SUM(N60:O61)</f>
        <v>0</v>
      </c>
      <c r="O62" s="357"/>
      <c r="P62" s="357">
        <f>SUM(P60:Q61)</f>
        <v>0</v>
      </c>
      <c r="Q62" s="357"/>
      <c r="R62" s="357">
        <f>SUM(R60:S61)</f>
        <v>0</v>
      </c>
      <c r="S62" s="357"/>
      <c r="T62" s="357">
        <f>SUM(T60:U61)</f>
        <v>0</v>
      </c>
      <c r="U62" s="357"/>
      <c r="V62" s="357">
        <f>SUM(V60:W61)</f>
        <v>0</v>
      </c>
      <c r="W62" s="357"/>
      <c r="X62" s="357">
        <f>SUM(X60:Y61)</f>
        <v>0</v>
      </c>
      <c r="Y62" s="357"/>
      <c r="Z62" s="155">
        <f>SUM(F62:Y62)</f>
        <v>0</v>
      </c>
      <c r="AA62" s="330"/>
    </row>
    <row r="63" spans="1:27" ht="15" customHeight="1" x14ac:dyDescent="0.25">
      <c r="A63" s="368"/>
      <c r="B63" s="368"/>
      <c r="C63" s="368"/>
      <c r="D63" s="363" t="s">
        <v>413</v>
      </c>
      <c r="E63" s="363"/>
      <c r="F63" s="360"/>
      <c r="G63" s="360"/>
      <c r="H63" s="360"/>
      <c r="I63" s="360"/>
      <c r="J63" s="360"/>
      <c r="K63" s="360"/>
      <c r="L63" s="360"/>
      <c r="M63" s="360"/>
      <c r="N63" s="360"/>
      <c r="O63" s="360"/>
      <c r="P63" s="360"/>
      <c r="Q63" s="360"/>
      <c r="R63" s="360"/>
      <c r="S63" s="360"/>
      <c r="T63" s="360"/>
      <c r="U63" s="360"/>
      <c r="V63" s="360"/>
      <c r="W63" s="360"/>
      <c r="X63" s="360"/>
      <c r="Y63" s="360"/>
      <c r="Z63" s="116"/>
      <c r="AA63" s="330"/>
    </row>
    <row r="64" spans="1:27" ht="15" customHeight="1" x14ac:dyDescent="0.25">
      <c r="A64" s="368"/>
      <c r="B64" s="368"/>
      <c r="C64" s="368"/>
      <c r="D64" s="363" t="s">
        <v>414</v>
      </c>
      <c r="E64" s="363"/>
      <c r="F64" s="360"/>
      <c r="G64" s="360"/>
      <c r="H64" s="360"/>
      <c r="I64" s="360"/>
      <c r="J64" s="360"/>
      <c r="K64" s="360"/>
      <c r="L64" s="360"/>
      <c r="M64" s="360"/>
      <c r="N64" s="360"/>
      <c r="O64" s="360"/>
      <c r="P64" s="360"/>
      <c r="Q64" s="360"/>
      <c r="R64" s="360"/>
      <c r="S64" s="360"/>
      <c r="T64" s="360"/>
      <c r="U64" s="360"/>
      <c r="V64" s="360"/>
      <c r="W64" s="360"/>
      <c r="X64" s="360"/>
      <c r="Y64" s="360"/>
      <c r="Z64" s="115"/>
      <c r="AA64" s="330"/>
    </row>
    <row r="65" spans="1:27" ht="15" customHeight="1" x14ac:dyDescent="0.25">
      <c r="A65" s="368"/>
      <c r="B65" s="368"/>
      <c r="C65" s="368"/>
      <c r="D65" s="363" t="s">
        <v>415</v>
      </c>
      <c r="E65" s="363"/>
      <c r="F65" s="357">
        <f>SUM(F63:G64)</f>
        <v>0</v>
      </c>
      <c r="G65" s="357"/>
      <c r="H65" s="357">
        <f>SUM(H63:I64)</f>
        <v>0</v>
      </c>
      <c r="I65" s="357"/>
      <c r="J65" s="357">
        <f t="shared" ref="J65" si="1">SUM(J63:K64)</f>
        <v>0</v>
      </c>
      <c r="K65" s="357"/>
      <c r="L65" s="357">
        <f t="shared" ref="L65" si="2">SUM(L63:M64)</f>
        <v>0</v>
      </c>
      <c r="M65" s="357"/>
      <c r="N65" s="357">
        <f t="shared" ref="N65" si="3">SUM(N63:O64)</f>
        <v>0</v>
      </c>
      <c r="O65" s="357"/>
      <c r="P65" s="357">
        <f t="shared" ref="P65" si="4">SUM(P63:Q64)</f>
        <v>0</v>
      </c>
      <c r="Q65" s="357"/>
      <c r="R65" s="357">
        <f t="shared" ref="R65" si="5">SUM(R63:S64)</f>
        <v>0</v>
      </c>
      <c r="S65" s="357"/>
      <c r="T65" s="357">
        <f t="shared" ref="T65" si="6">SUM(T63:U64)</f>
        <v>0</v>
      </c>
      <c r="U65" s="357"/>
      <c r="V65" s="357">
        <f t="shared" ref="V65" si="7">SUM(V63:W64)</f>
        <v>0</v>
      </c>
      <c r="W65" s="357"/>
      <c r="X65" s="357">
        <f t="shared" ref="X65" si="8">SUM(X63:Y64)</f>
        <v>0</v>
      </c>
      <c r="Y65" s="357"/>
      <c r="Z65" s="155">
        <f>SUM(F65:Y65)</f>
        <v>0</v>
      </c>
      <c r="AA65" s="330"/>
    </row>
    <row r="66" spans="1:27" ht="15" customHeight="1" thickBot="1" x14ac:dyDescent="0.3">
      <c r="A66" s="370" t="s">
        <v>416</v>
      </c>
      <c r="B66" s="370"/>
      <c r="C66" s="370"/>
      <c r="D66" s="370"/>
      <c r="E66" s="370"/>
      <c r="F66" s="362">
        <f ca="1">SUMPRODUCT(--(MOD(ROW(Subs1:Subs1:OFFSET(TotalSubs1,-1,0))-ROW(Subs1)+0,3)=0),Subs1:Subs1:OFFSET(TotalSubs1,-1,0))</f>
        <v>0</v>
      </c>
      <c r="G66" s="362"/>
      <c r="H66" s="362">
        <f ca="1">SUMPRODUCT(--(MOD(ROW(Subs2:Subs2:OFFSET(TotalSubs2,-1,0))-ROW(Subs2)+0,3)=0),Subs2:Subs2:OFFSET(TotalSubs2,-1,0))</f>
        <v>0</v>
      </c>
      <c r="I66" s="362"/>
      <c r="J66" s="362">
        <f ca="1">SUMPRODUCT(--(MOD(ROW(Subs3:Subs3:OFFSET(TotalSubs3,-1,0))-ROW(Subs3)+0,3)=0),Subs3:Subs3:OFFSET(TotalSubs3,-1,0))</f>
        <v>0</v>
      </c>
      <c r="K66" s="362"/>
      <c r="L66" s="362">
        <f ca="1">SUMPRODUCT(--(MOD(ROW(Subs4:Subs4:OFFSET(TotalSubs4,-1,0))-ROW(Subs4)+0,3)=0),Subs4:Subs4:OFFSET(TotalSubs4,-1,0))</f>
        <v>0</v>
      </c>
      <c r="M66" s="362"/>
      <c r="N66" s="362">
        <f ca="1">SUMPRODUCT(--(MOD(ROW(Subs5:Subs5:OFFSET(TotalSubs5,-1,0))-ROW(Subs5)+0,3)=0),Subs5:Subs5:OFFSET(TotalSubs5,-1,0))</f>
        <v>0</v>
      </c>
      <c r="O66" s="362"/>
      <c r="P66" s="362">
        <f ca="1">SUMPRODUCT(--(MOD(ROW(Subs6:Subs6:OFFSET(TotalSubs6,-1,0))-ROW(Subs6)+0,3)=0),Subs6:Subs6:OFFSET(TotalSubs6,-1,0))</f>
        <v>0</v>
      </c>
      <c r="Q66" s="362"/>
      <c r="R66" s="362">
        <f ca="1">SUMPRODUCT(--(MOD(ROW(Subs7:Subs7:OFFSET(TotalSubs7,-1,0))-ROW(Subs7)+0,3)=0),Subs7:Subs7:OFFSET(TotalSubs7,-1,0))</f>
        <v>0</v>
      </c>
      <c r="S66" s="362"/>
      <c r="T66" s="362">
        <f ca="1">SUMPRODUCT(--(MOD(ROW(Subs8:Subs8:OFFSET(TotalSubs8,-1,0))-ROW(Subs8)+0,3)=0),Subs8:Subs8:OFFSET(TotalSubs8,-1,0))</f>
        <v>0</v>
      </c>
      <c r="U66" s="362"/>
      <c r="V66" s="362">
        <f ca="1">SUMPRODUCT(--(MOD(ROW(Subs9:Subs9:OFFSET(TotalSubs9,-1,0))-ROW(Subs9)+0,3)=0),Subs9:Subs9:OFFSET(TotalSubs9,-1,0))</f>
        <v>0</v>
      </c>
      <c r="W66" s="362"/>
      <c r="X66" s="362">
        <f ca="1">SUMPRODUCT(--(MOD(ROW(Subs10:Subs10:OFFSET(TotalSubs10,-1,0))-ROW(Subs10)+0,3)=0),Subs10:Subs10:OFFSET(TotalSubs10,-1,0))</f>
        <v>0</v>
      </c>
      <c r="Y66" s="362"/>
      <c r="Z66" s="177">
        <f ca="1">SUM(F66:Y66)</f>
        <v>0</v>
      </c>
      <c r="AA66" s="330"/>
    </row>
    <row r="67" spans="1:27" ht="15" customHeight="1" x14ac:dyDescent="0.25">
      <c r="A67" s="372" t="s">
        <v>57</v>
      </c>
      <c r="B67" s="372"/>
      <c r="C67" s="372"/>
      <c r="D67" s="372"/>
      <c r="E67" s="372"/>
      <c r="F67" s="178"/>
      <c r="G67" s="179"/>
      <c r="H67" s="179"/>
      <c r="I67" s="179"/>
      <c r="J67" s="179"/>
      <c r="K67" s="179"/>
      <c r="L67" s="179"/>
      <c r="M67" s="179"/>
      <c r="N67" s="179"/>
      <c r="O67" s="179"/>
      <c r="P67" s="179"/>
      <c r="Q67" s="179"/>
      <c r="R67" s="179"/>
      <c r="S67" s="179"/>
      <c r="T67" s="179"/>
      <c r="U67" s="179"/>
      <c r="V67" s="179"/>
      <c r="W67" s="179"/>
      <c r="X67" s="179"/>
      <c r="Y67" s="179"/>
      <c r="Z67" s="15"/>
      <c r="AA67" s="330"/>
    </row>
    <row r="68" spans="1:27" ht="15" customHeight="1" x14ac:dyDescent="0.25">
      <c r="A68" s="10" t="s">
        <v>72</v>
      </c>
      <c r="B68" s="378" t="s">
        <v>73</v>
      </c>
      <c r="C68" s="378"/>
      <c r="D68" s="369"/>
      <c r="E68" s="369"/>
      <c r="F68" s="63"/>
      <c r="G68" s="64"/>
      <c r="H68" s="64"/>
      <c r="I68" s="64"/>
      <c r="J68" s="64"/>
      <c r="K68" s="64"/>
      <c r="L68" s="64"/>
      <c r="M68" s="64"/>
      <c r="N68" s="64"/>
      <c r="O68" s="64"/>
      <c r="P68" s="64"/>
      <c r="Q68" s="64"/>
      <c r="R68" s="64"/>
      <c r="S68" s="64"/>
      <c r="T68" s="64"/>
      <c r="U68" s="64"/>
      <c r="V68" s="64"/>
      <c r="W68" s="64"/>
      <c r="X68" s="64"/>
      <c r="Y68" s="64"/>
      <c r="Z68" s="65"/>
      <c r="AA68" s="330"/>
    </row>
    <row r="69" spans="1:27" ht="15" customHeight="1" x14ac:dyDescent="0.25">
      <c r="A69" s="368"/>
      <c r="B69" s="368"/>
      <c r="C69" s="368"/>
      <c r="D69" s="363" t="s">
        <v>404</v>
      </c>
      <c r="E69" s="363"/>
      <c r="F69" s="360"/>
      <c r="G69" s="360"/>
      <c r="H69" s="360"/>
      <c r="I69" s="360"/>
      <c r="J69" s="360"/>
      <c r="K69" s="360"/>
      <c r="L69" s="360"/>
      <c r="M69" s="360"/>
      <c r="N69" s="360"/>
      <c r="O69" s="360"/>
      <c r="P69" s="360"/>
      <c r="Q69" s="360"/>
      <c r="R69" s="360"/>
      <c r="S69" s="360"/>
      <c r="T69" s="360"/>
      <c r="U69" s="360"/>
      <c r="V69" s="360"/>
      <c r="W69" s="360"/>
      <c r="X69" s="360"/>
      <c r="Y69" s="360"/>
      <c r="Z69" s="116"/>
      <c r="AA69" s="330"/>
    </row>
    <row r="70" spans="1:27" ht="15" customHeight="1" x14ac:dyDescent="0.25">
      <c r="A70" s="368"/>
      <c r="B70" s="368"/>
      <c r="C70" s="368"/>
      <c r="D70" s="363" t="s">
        <v>401</v>
      </c>
      <c r="E70" s="363"/>
      <c r="F70" s="360"/>
      <c r="G70" s="360"/>
      <c r="H70" s="360"/>
      <c r="I70" s="360"/>
      <c r="J70" s="360"/>
      <c r="K70" s="360"/>
      <c r="L70" s="360"/>
      <c r="M70" s="360"/>
      <c r="N70" s="360"/>
      <c r="O70" s="360"/>
      <c r="P70" s="360"/>
      <c r="Q70" s="360"/>
      <c r="R70" s="360"/>
      <c r="S70" s="360"/>
      <c r="T70" s="360"/>
      <c r="U70" s="360"/>
      <c r="V70" s="360"/>
      <c r="W70" s="360"/>
      <c r="X70" s="360"/>
      <c r="Y70" s="360"/>
      <c r="Z70" s="115"/>
      <c r="AA70" s="330"/>
    </row>
    <row r="71" spans="1:27" ht="15" customHeight="1" x14ac:dyDescent="0.25">
      <c r="A71" s="368"/>
      <c r="B71" s="368"/>
      <c r="C71" s="368"/>
      <c r="D71" s="363" t="s">
        <v>402</v>
      </c>
      <c r="E71" s="363"/>
      <c r="F71" s="357">
        <f>SUM(F69:G70)</f>
        <v>0</v>
      </c>
      <c r="G71" s="357"/>
      <c r="H71" s="357">
        <f>SUM(H69:I70)</f>
        <v>0</v>
      </c>
      <c r="I71" s="357"/>
      <c r="J71" s="357">
        <f>SUM(J69:K70)</f>
        <v>0</v>
      </c>
      <c r="K71" s="357"/>
      <c r="L71" s="357">
        <f>SUM(L69:M70)</f>
        <v>0</v>
      </c>
      <c r="M71" s="357"/>
      <c r="N71" s="357">
        <f>SUM(N69:O70)</f>
        <v>0</v>
      </c>
      <c r="O71" s="357"/>
      <c r="P71" s="357">
        <f>SUM(P69:Q70)</f>
        <v>0</v>
      </c>
      <c r="Q71" s="357"/>
      <c r="R71" s="357">
        <f>SUM(R69:S70)</f>
        <v>0</v>
      </c>
      <c r="S71" s="357"/>
      <c r="T71" s="357">
        <f>SUM(T69:U70)</f>
        <v>0</v>
      </c>
      <c r="U71" s="357"/>
      <c r="V71" s="357">
        <f>SUM(V69:W70)</f>
        <v>0</v>
      </c>
      <c r="W71" s="357"/>
      <c r="X71" s="357">
        <f>SUM(X69:Y70)</f>
        <v>0</v>
      </c>
      <c r="Y71" s="357"/>
      <c r="Z71" s="155">
        <f>SUM(F71:Y71)</f>
        <v>0</v>
      </c>
      <c r="AA71" s="330"/>
    </row>
    <row r="72" spans="1:27" ht="15" customHeight="1" x14ac:dyDescent="0.25">
      <c r="A72" s="368"/>
      <c r="B72" s="368"/>
      <c r="C72" s="368"/>
      <c r="D72" s="363" t="s">
        <v>405</v>
      </c>
      <c r="E72" s="363"/>
      <c r="F72" s="360"/>
      <c r="G72" s="360"/>
      <c r="H72" s="360"/>
      <c r="I72" s="360"/>
      <c r="J72" s="360"/>
      <c r="K72" s="360"/>
      <c r="L72" s="360"/>
      <c r="M72" s="360"/>
      <c r="N72" s="360"/>
      <c r="O72" s="360"/>
      <c r="P72" s="360"/>
      <c r="Q72" s="360"/>
      <c r="R72" s="360"/>
      <c r="S72" s="360"/>
      <c r="T72" s="360"/>
      <c r="U72" s="360"/>
      <c r="V72" s="360"/>
      <c r="W72" s="360"/>
      <c r="X72" s="360"/>
      <c r="Y72" s="360"/>
      <c r="Z72" s="116"/>
      <c r="AA72" s="330"/>
    </row>
    <row r="73" spans="1:27" ht="15" customHeight="1" x14ac:dyDescent="0.25">
      <c r="A73" s="368"/>
      <c r="B73" s="368"/>
      <c r="C73" s="368"/>
      <c r="D73" s="363" t="s">
        <v>403</v>
      </c>
      <c r="E73" s="363"/>
      <c r="F73" s="360"/>
      <c r="G73" s="360"/>
      <c r="H73" s="360"/>
      <c r="I73" s="360"/>
      <c r="J73" s="360"/>
      <c r="K73" s="360"/>
      <c r="L73" s="360"/>
      <c r="M73" s="360"/>
      <c r="N73" s="360"/>
      <c r="O73" s="360"/>
      <c r="P73" s="360"/>
      <c r="Q73" s="360"/>
      <c r="R73" s="360"/>
      <c r="S73" s="360"/>
      <c r="T73" s="360"/>
      <c r="U73" s="360"/>
      <c r="V73" s="360"/>
      <c r="W73" s="360"/>
      <c r="X73" s="360"/>
      <c r="Y73" s="360"/>
      <c r="Z73" s="115"/>
      <c r="AA73" s="330"/>
    </row>
    <row r="74" spans="1:27" ht="15" customHeight="1" x14ac:dyDescent="0.25">
      <c r="A74" s="368"/>
      <c r="B74" s="368"/>
      <c r="C74" s="368"/>
      <c r="D74" s="363" t="s">
        <v>402</v>
      </c>
      <c r="E74" s="363"/>
      <c r="F74" s="357">
        <f>SUM(F72:G73)</f>
        <v>0</v>
      </c>
      <c r="G74" s="357"/>
      <c r="H74" s="357">
        <f>SUM(H72:I73)</f>
        <v>0</v>
      </c>
      <c r="I74" s="357"/>
      <c r="J74" s="357">
        <f>SUM(J72:K73)</f>
        <v>0</v>
      </c>
      <c r="K74" s="357"/>
      <c r="L74" s="357">
        <f>SUM(L72:M73)</f>
        <v>0</v>
      </c>
      <c r="M74" s="357"/>
      <c r="N74" s="357">
        <f>SUM(N72:O73)</f>
        <v>0</v>
      </c>
      <c r="O74" s="357"/>
      <c r="P74" s="357">
        <f>SUM(P72:Q73)</f>
        <v>0</v>
      </c>
      <c r="Q74" s="357"/>
      <c r="R74" s="357">
        <f>SUM(R72:S73)</f>
        <v>0</v>
      </c>
      <c r="S74" s="357"/>
      <c r="T74" s="357">
        <f>SUM(T72:U73)</f>
        <v>0</v>
      </c>
      <c r="U74" s="357"/>
      <c r="V74" s="357">
        <f>SUM(V72:W73)</f>
        <v>0</v>
      </c>
      <c r="W74" s="357"/>
      <c r="X74" s="357">
        <f>SUM(X72:Y73)</f>
        <v>0</v>
      </c>
      <c r="Y74" s="357"/>
      <c r="Z74" s="155">
        <f>SUM(F74:Y74)</f>
        <v>0</v>
      </c>
      <c r="AA74" s="330"/>
    </row>
    <row r="75" spans="1:27" ht="15" customHeight="1" thickBot="1" x14ac:dyDescent="0.3">
      <c r="A75" s="373" t="s">
        <v>60</v>
      </c>
      <c r="B75" s="374"/>
      <c r="C75" s="374"/>
      <c r="D75" s="374"/>
      <c r="E75" s="375"/>
      <c r="F75" s="362">
        <f ca="1">SUMPRODUCT(--(MOD(ROW(Multi1:Multi1:OFFSET(TotalMulti1,-1,0))-ROW(Multi1)+0,3)=0),Multi1:Multi1:OFFSET(TotalMulti1,-1,0))</f>
        <v>0</v>
      </c>
      <c r="G75" s="362"/>
      <c r="H75" s="362">
        <f ca="1">SUMPRODUCT(--(MOD(ROW(Multi2:Multi2:OFFSET(TotalMulti2,-1,0))-ROW(Multi2)+0,3)=0),Multi2:Multi2:OFFSET(TotalMulti2,-1,0))</f>
        <v>0</v>
      </c>
      <c r="I75" s="362"/>
      <c r="J75" s="362">
        <f ca="1">SUMPRODUCT(--(MOD(ROW(Multi3:Multi3:OFFSET(TotalMulti3,-1,0))-ROW(Multi3)+0,3)=0),Multi3:Multi3:OFFSET(TotalMulti3,-1,0))</f>
        <v>0</v>
      </c>
      <c r="K75" s="362"/>
      <c r="L75" s="362">
        <f ca="1">SUMPRODUCT(--(MOD(ROW(Multi4:Multi4:OFFSET(TotalMulti4,-1,0))-ROW(Multi4)+0,3)=0),Multi4:Multi4:OFFSET(TotalMulti4,-1,0))</f>
        <v>0</v>
      </c>
      <c r="M75" s="362"/>
      <c r="N75" s="362">
        <f ca="1">SUMPRODUCT(--(MOD(ROW(Multi5:Multi5:OFFSET(TotalMulti5,-1,0))-ROW(Multi5)+0,3)=0),Multi5:Multi5:OFFSET(TotalMulti5,-1,0))</f>
        <v>0</v>
      </c>
      <c r="O75" s="362"/>
      <c r="P75" s="362">
        <f ca="1">SUMPRODUCT(--(MOD(ROW(Multi6:Multi6:OFFSET(TotalMulti6,-1,0))-ROW(Multi6)+0,3)=0),Multi6:Multi6:OFFSET(TotalMulti6,-1,0))</f>
        <v>0</v>
      </c>
      <c r="Q75" s="362"/>
      <c r="R75" s="362">
        <f ca="1">SUMPRODUCT(--(MOD(ROW(Multi7:Multi7:OFFSET(TotalMulti7,-1,0))-ROW(Multi7)+0,3)=0),Multi7:Multi7:OFFSET(TotalMulti7,-1,0))</f>
        <v>0</v>
      </c>
      <c r="S75" s="362"/>
      <c r="T75" s="362">
        <f ca="1">SUMPRODUCT(--(MOD(ROW(Multi8:Multi8:OFFSET(TotalMulti8,-1,0))-ROW(Multi8)+0,3)=0),Multi8:Multi8:OFFSET(TotalMulti8,-1,0))</f>
        <v>0</v>
      </c>
      <c r="U75" s="362"/>
      <c r="V75" s="362">
        <f ca="1">SUMPRODUCT(--(MOD(ROW(Multi9:Multi9:OFFSET(TotalMulti9,-1,0))-ROW(Multi9)+0,3)=0),Multi9:Multi9:OFFSET(TotalMulti9,-1,0))</f>
        <v>0</v>
      </c>
      <c r="W75" s="362"/>
      <c r="X75" s="362">
        <f ca="1">SUMPRODUCT(--(MOD(ROW(Multi10:Multi10:OFFSET(TotalMulti10,-1,0))-ROW(Multi10)+0,3)=0),Multi10:Multi10:OFFSET(TotalMulti10,-1,0))</f>
        <v>0</v>
      </c>
      <c r="Y75" s="362"/>
      <c r="Z75" s="177">
        <f ca="1">SUM(F75:Y75)</f>
        <v>0</v>
      </c>
      <c r="AA75" s="330"/>
    </row>
    <row r="76" spans="1:27" ht="15" customHeight="1" x14ac:dyDescent="0.25">
      <c r="A76" s="364" t="s">
        <v>31</v>
      </c>
      <c r="B76" s="365"/>
      <c r="C76" s="365"/>
      <c r="D76" s="365"/>
      <c r="E76" s="366"/>
      <c r="F76" s="178"/>
      <c r="G76" s="179"/>
      <c r="H76" s="179"/>
      <c r="I76" s="179"/>
      <c r="J76" s="179"/>
      <c r="K76" s="179"/>
      <c r="L76" s="179"/>
      <c r="M76" s="179"/>
      <c r="N76" s="179"/>
      <c r="O76" s="179"/>
      <c r="P76" s="179"/>
      <c r="Q76" s="179"/>
      <c r="R76" s="179"/>
      <c r="S76" s="179"/>
      <c r="T76" s="179"/>
      <c r="U76" s="179"/>
      <c r="V76" s="179"/>
      <c r="W76" s="179"/>
      <c r="X76" s="179"/>
      <c r="Y76" s="179"/>
      <c r="Z76" s="15"/>
      <c r="AA76" s="330"/>
    </row>
    <row r="77" spans="1:27" ht="15" customHeight="1" x14ac:dyDescent="0.25">
      <c r="A77" s="10" t="s">
        <v>14</v>
      </c>
      <c r="B77" s="376" t="s">
        <v>16</v>
      </c>
      <c r="C77" s="377"/>
      <c r="D77" s="377"/>
      <c r="E77" s="377"/>
      <c r="F77" s="63"/>
      <c r="G77" s="64"/>
      <c r="H77" s="64"/>
      <c r="I77" s="64"/>
      <c r="J77" s="64"/>
      <c r="K77" s="64"/>
      <c r="L77" s="64"/>
      <c r="M77" s="64"/>
      <c r="N77" s="64"/>
      <c r="O77" s="64"/>
      <c r="P77" s="64"/>
      <c r="Q77" s="64"/>
      <c r="R77" s="64"/>
      <c r="S77" s="64"/>
      <c r="T77" s="64"/>
      <c r="U77" s="64"/>
      <c r="V77" s="64"/>
      <c r="W77" s="64"/>
      <c r="X77" s="64"/>
      <c r="Y77" s="64"/>
      <c r="Z77" s="65"/>
      <c r="AA77" s="331"/>
    </row>
    <row r="78" spans="1:27" ht="15" customHeight="1" x14ac:dyDescent="0.25">
      <c r="A78" s="80" t="s">
        <v>232</v>
      </c>
      <c r="B78" s="367"/>
      <c r="C78" s="367"/>
      <c r="D78" s="367"/>
      <c r="E78" s="367"/>
      <c r="F78" s="360"/>
      <c r="G78" s="360"/>
      <c r="H78" s="360"/>
      <c r="I78" s="360"/>
      <c r="J78" s="360"/>
      <c r="K78" s="360"/>
      <c r="L78" s="360"/>
      <c r="M78" s="360"/>
      <c r="N78" s="360"/>
      <c r="O78" s="360"/>
      <c r="P78" s="360"/>
      <c r="Q78" s="360"/>
      <c r="R78" s="360"/>
      <c r="S78" s="360"/>
      <c r="T78" s="360"/>
      <c r="U78" s="360"/>
      <c r="V78" s="360"/>
      <c r="W78" s="360"/>
      <c r="X78" s="360"/>
      <c r="Y78" s="360"/>
      <c r="Z78" s="149">
        <f>SUM(F78:Y78)</f>
        <v>0</v>
      </c>
      <c r="AA78" s="328"/>
    </row>
    <row r="79" spans="1:27" ht="15" customHeight="1" x14ac:dyDescent="0.25">
      <c r="A79" s="317" t="s">
        <v>232</v>
      </c>
      <c r="B79" s="367"/>
      <c r="C79" s="367"/>
      <c r="D79" s="367"/>
      <c r="E79" s="367"/>
      <c r="F79" s="360"/>
      <c r="G79" s="360"/>
      <c r="H79" s="360"/>
      <c r="I79" s="360"/>
      <c r="J79" s="360"/>
      <c r="K79" s="360"/>
      <c r="L79" s="360"/>
      <c r="M79" s="360"/>
      <c r="N79" s="360"/>
      <c r="O79" s="360"/>
      <c r="P79" s="360"/>
      <c r="Q79" s="360"/>
      <c r="R79" s="360"/>
      <c r="S79" s="360"/>
      <c r="T79" s="360"/>
      <c r="U79" s="360"/>
      <c r="V79" s="360"/>
      <c r="W79" s="360"/>
      <c r="X79" s="360"/>
      <c r="Y79" s="360"/>
      <c r="Z79" s="315">
        <f>SUM(F79:Y79)</f>
        <v>0</v>
      </c>
      <c r="AA79" s="328"/>
    </row>
    <row r="80" spans="1:27" ht="15" customHeight="1" thickBot="1" x14ac:dyDescent="0.3">
      <c r="A80" s="370" t="s">
        <v>21</v>
      </c>
      <c r="B80" s="370"/>
      <c r="C80" s="370"/>
      <c r="D80" s="370"/>
      <c r="E80" s="370"/>
      <c r="F80" s="361">
        <f>SUM(F78:F79)</f>
        <v>0</v>
      </c>
      <c r="G80" s="361"/>
      <c r="H80" s="361">
        <f>SUM(H78:H79)</f>
        <v>0</v>
      </c>
      <c r="I80" s="361"/>
      <c r="J80" s="361">
        <f>SUM(J78:J79)</f>
        <v>0</v>
      </c>
      <c r="K80" s="361"/>
      <c r="L80" s="361">
        <f>SUM(L78:L79)</f>
        <v>0</v>
      </c>
      <c r="M80" s="361"/>
      <c r="N80" s="361">
        <f>SUM(N78:N79)</f>
        <v>0</v>
      </c>
      <c r="O80" s="361"/>
      <c r="P80" s="361">
        <f>SUM(P78:P79)</f>
        <v>0</v>
      </c>
      <c r="Q80" s="361"/>
      <c r="R80" s="361">
        <f>SUM(R78:R79)</f>
        <v>0</v>
      </c>
      <c r="S80" s="361"/>
      <c r="T80" s="361">
        <f>SUM(T78:T79)</f>
        <v>0</v>
      </c>
      <c r="U80" s="361"/>
      <c r="V80" s="361">
        <f>SUM(V78:V79)</f>
        <v>0</v>
      </c>
      <c r="W80" s="361"/>
      <c r="X80" s="361">
        <f>SUM(X78:X79)</f>
        <v>0</v>
      </c>
      <c r="Y80" s="361"/>
      <c r="Z80" s="177">
        <f>SUM(F80:Y80)</f>
        <v>0</v>
      </c>
      <c r="AA80" s="330"/>
    </row>
    <row r="81" spans="1:27" ht="15" customHeight="1" x14ac:dyDescent="0.25">
      <c r="A81" s="372" t="s">
        <v>32</v>
      </c>
      <c r="B81" s="372"/>
      <c r="C81" s="372"/>
      <c r="D81" s="372"/>
      <c r="E81" s="372"/>
      <c r="F81" s="178"/>
      <c r="G81" s="179"/>
      <c r="H81" s="179"/>
      <c r="I81" s="179"/>
      <c r="J81" s="179"/>
      <c r="K81" s="179"/>
      <c r="L81" s="179"/>
      <c r="M81" s="179"/>
      <c r="N81" s="179"/>
      <c r="O81" s="179"/>
      <c r="P81" s="179"/>
      <c r="Q81" s="179"/>
      <c r="R81" s="179"/>
      <c r="S81" s="179"/>
      <c r="T81" s="179"/>
      <c r="U81" s="179"/>
      <c r="V81" s="179"/>
      <c r="W81" s="179"/>
      <c r="X81" s="179"/>
      <c r="Y81" s="179"/>
      <c r="Z81" s="15"/>
      <c r="AA81" s="330"/>
    </row>
    <row r="82" spans="1:27" ht="15" customHeight="1" x14ac:dyDescent="0.25">
      <c r="A82" s="10" t="s">
        <v>14</v>
      </c>
      <c r="B82" s="378" t="s">
        <v>16</v>
      </c>
      <c r="C82" s="378"/>
      <c r="D82" s="378"/>
      <c r="E82" s="153" t="s">
        <v>18</v>
      </c>
      <c r="F82" s="63"/>
      <c r="G82" s="64"/>
      <c r="H82" s="64"/>
      <c r="I82" s="64"/>
      <c r="J82" s="64"/>
      <c r="K82" s="64"/>
      <c r="L82" s="64"/>
      <c r="M82" s="64"/>
      <c r="N82" s="64"/>
      <c r="O82" s="64"/>
      <c r="P82" s="64"/>
      <c r="Q82" s="64"/>
      <c r="R82" s="64"/>
      <c r="S82" s="64"/>
      <c r="T82" s="64"/>
      <c r="U82" s="64"/>
      <c r="V82" s="64"/>
      <c r="W82" s="64"/>
      <c r="X82" s="64"/>
      <c r="Y82" s="64"/>
      <c r="Z82" s="65"/>
      <c r="AA82" s="331"/>
    </row>
    <row r="83" spans="1:27" ht="15" customHeight="1" x14ac:dyDescent="0.25">
      <c r="A83" s="152" t="s">
        <v>232</v>
      </c>
      <c r="B83" s="367"/>
      <c r="C83" s="367"/>
      <c r="D83" s="367"/>
      <c r="E83" s="83"/>
      <c r="F83" s="360"/>
      <c r="G83" s="360"/>
      <c r="H83" s="360"/>
      <c r="I83" s="360"/>
      <c r="J83" s="360"/>
      <c r="K83" s="360"/>
      <c r="L83" s="360"/>
      <c r="M83" s="360"/>
      <c r="N83" s="360"/>
      <c r="O83" s="360"/>
      <c r="P83" s="360"/>
      <c r="Q83" s="360"/>
      <c r="R83" s="360"/>
      <c r="S83" s="360"/>
      <c r="T83" s="360"/>
      <c r="U83" s="360"/>
      <c r="V83" s="360"/>
      <c r="W83" s="360"/>
      <c r="X83" s="360"/>
      <c r="Y83" s="360"/>
      <c r="Z83" s="149">
        <f>SUM(F83:Y83)</f>
        <v>0</v>
      </c>
      <c r="AA83" s="328"/>
    </row>
    <row r="84" spans="1:27" ht="15" customHeight="1" x14ac:dyDescent="0.25">
      <c r="A84" s="152" t="s">
        <v>232</v>
      </c>
      <c r="B84" s="367"/>
      <c r="C84" s="367"/>
      <c r="D84" s="367"/>
      <c r="E84" s="83"/>
      <c r="F84" s="360"/>
      <c r="G84" s="360"/>
      <c r="H84" s="360"/>
      <c r="I84" s="360"/>
      <c r="J84" s="360"/>
      <c r="K84" s="360"/>
      <c r="L84" s="360"/>
      <c r="M84" s="360"/>
      <c r="N84" s="360"/>
      <c r="O84" s="360"/>
      <c r="P84" s="360"/>
      <c r="Q84" s="360"/>
      <c r="R84" s="360"/>
      <c r="S84" s="360"/>
      <c r="T84" s="360"/>
      <c r="U84" s="360"/>
      <c r="V84" s="360"/>
      <c r="W84" s="360"/>
      <c r="X84" s="360"/>
      <c r="Y84" s="360"/>
      <c r="Z84" s="149">
        <f>SUM(F84:Y84)</f>
        <v>0</v>
      </c>
      <c r="AA84" s="328"/>
    </row>
    <row r="85" spans="1:27" ht="15" customHeight="1" thickBot="1" x14ac:dyDescent="0.3">
      <c r="A85" s="370" t="s">
        <v>61</v>
      </c>
      <c r="B85" s="371"/>
      <c r="C85" s="371"/>
      <c r="D85" s="370"/>
      <c r="E85" s="370"/>
      <c r="F85" s="361">
        <f>SUM(F83:F84)</f>
        <v>0</v>
      </c>
      <c r="G85" s="361"/>
      <c r="H85" s="361">
        <f>SUM(H83:H84)</f>
        <v>0</v>
      </c>
      <c r="I85" s="361"/>
      <c r="J85" s="361">
        <f>SUM(J83:J84)</f>
        <v>0</v>
      </c>
      <c r="K85" s="361"/>
      <c r="L85" s="361">
        <f>SUM(L83:L84)</f>
        <v>0</v>
      </c>
      <c r="M85" s="361"/>
      <c r="N85" s="361">
        <f>SUM(N83:N84)</f>
        <v>0</v>
      </c>
      <c r="O85" s="361"/>
      <c r="P85" s="361">
        <f>SUM(P83:P84)</f>
        <v>0</v>
      </c>
      <c r="Q85" s="361"/>
      <c r="R85" s="361">
        <f>SUM(R83:R84)</f>
        <v>0</v>
      </c>
      <c r="S85" s="361"/>
      <c r="T85" s="361">
        <f>SUM(T83:T84)</f>
        <v>0</v>
      </c>
      <c r="U85" s="361"/>
      <c r="V85" s="361">
        <f>SUM(V83:V84)</f>
        <v>0</v>
      </c>
      <c r="W85" s="361"/>
      <c r="X85" s="361">
        <f>SUM(X83:X84)</f>
        <v>0</v>
      </c>
      <c r="Y85" s="361"/>
      <c r="Z85" s="177">
        <f>SUM(F85:Y85)</f>
        <v>0</v>
      </c>
      <c r="AA85" s="330"/>
    </row>
    <row r="86" spans="1:27" ht="15" customHeight="1" x14ac:dyDescent="0.25">
      <c r="A86" s="364" t="s">
        <v>419</v>
      </c>
      <c r="B86" s="365"/>
      <c r="C86" s="365"/>
      <c r="D86" s="365"/>
      <c r="E86" s="366"/>
      <c r="F86" s="23"/>
      <c r="G86" s="23"/>
      <c r="H86" s="23"/>
      <c r="I86" s="23"/>
      <c r="J86" s="23"/>
      <c r="K86" s="23"/>
      <c r="L86" s="23"/>
      <c r="M86" s="23"/>
      <c r="N86" s="23"/>
      <c r="O86" s="23"/>
      <c r="P86" s="23"/>
      <c r="Q86" s="23"/>
      <c r="R86" s="23"/>
      <c r="S86" s="23"/>
      <c r="T86" s="23"/>
      <c r="U86" s="23"/>
      <c r="V86" s="23"/>
      <c r="W86" s="23"/>
      <c r="X86" s="23"/>
      <c r="Y86" s="23"/>
      <c r="Z86" s="168"/>
      <c r="AA86" s="330"/>
    </row>
    <row r="87" spans="1:27" ht="15" customHeight="1" x14ac:dyDescent="0.25">
      <c r="A87" s="455" t="s">
        <v>420</v>
      </c>
      <c r="B87" s="456"/>
      <c r="C87" s="457"/>
      <c r="D87" s="159" t="s">
        <v>406</v>
      </c>
      <c r="E87" s="159" t="s">
        <v>407</v>
      </c>
      <c r="F87" s="13"/>
      <c r="G87" s="13"/>
      <c r="H87" s="13"/>
      <c r="I87" s="13"/>
      <c r="J87" s="13"/>
      <c r="K87" s="13"/>
      <c r="L87" s="13"/>
      <c r="M87" s="13"/>
      <c r="N87" s="13"/>
      <c r="O87" s="13"/>
      <c r="P87" s="13"/>
      <c r="Q87" s="13"/>
      <c r="R87" s="13"/>
      <c r="S87" s="13"/>
      <c r="T87" s="13"/>
      <c r="U87" s="13"/>
      <c r="V87" s="13"/>
      <c r="W87" s="13"/>
      <c r="X87" s="13"/>
      <c r="Y87" s="13"/>
      <c r="Z87" s="168"/>
      <c r="AA87" s="330"/>
    </row>
    <row r="88" spans="1:27" ht="15" customHeight="1" x14ac:dyDescent="0.25">
      <c r="A88" s="458" t="s">
        <v>445</v>
      </c>
      <c r="B88" s="458"/>
      <c r="C88" s="458"/>
      <c r="D88" s="321">
        <v>0.1</v>
      </c>
      <c r="E88" s="322">
        <v>0.1</v>
      </c>
      <c r="F88" s="357">
        <f>(SUMPRODUCT(('Fringe Calculations'!F2:F100)*('Fringe Calculations'!C2:C100)))*(1+D88)</f>
        <v>0</v>
      </c>
      <c r="G88" s="357"/>
      <c r="H88" s="357">
        <f>(SUMPRODUCT(('Fringe Calculations'!G2:G100)*('Fringe Calculations'!C2:C100)))*(1+E88)^1*(1+D88)</f>
        <v>0</v>
      </c>
      <c r="I88" s="357"/>
      <c r="J88" s="357">
        <f>(SUMPRODUCT(('Fringe Calculations'!H2:H100)*('Fringe Calculations'!C2:C100)))*(1+E88)^2*(1+D88)</f>
        <v>0</v>
      </c>
      <c r="K88" s="357"/>
      <c r="L88" s="357">
        <f>(SUMPRODUCT(('Fringe Calculations'!I2:I100)*('Fringe Calculations'!C2:C100)))*(1+E88)^3*(1+D88)</f>
        <v>0</v>
      </c>
      <c r="M88" s="357"/>
      <c r="N88" s="357">
        <f>(SUMPRODUCT(('Fringe Calculations'!J2:J100)*('Fringe Calculations'!C2:C100)))*(1+E88)^4*(1+D88)</f>
        <v>0</v>
      </c>
      <c r="O88" s="357"/>
      <c r="P88" s="357">
        <f>(SUMPRODUCT(('Fringe Calculations'!K2:K100)*('Fringe Calculations'!C2:C100)))*(1+E88)^5*(1+D88)</f>
        <v>0</v>
      </c>
      <c r="Q88" s="357"/>
      <c r="R88" s="357">
        <f>(SUMPRODUCT(('Fringe Calculations'!L2:L100)*('Fringe Calculations'!C2:C100)))*(1+E88)^6*(1+D88)</f>
        <v>0</v>
      </c>
      <c r="S88" s="357"/>
      <c r="T88" s="357">
        <f>(SUMPRODUCT(('Fringe Calculations'!M2:M100)*('Fringe Calculations'!C2:C100)))*(1+E88)^7*(1+D88)</f>
        <v>0</v>
      </c>
      <c r="U88" s="357"/>
      <c r="V88" s="357">
        <f>(SUMPRODUCT(('Fringe Calculations'!N2:N100)*('Fringe Calculations'!C2:C100)))*(1+E88)^8*(1+D88)</f>
        <v>0</v>
      </c>
      <c r="W88" s="357"/>
      <c r="X88" s="357">
        <f>(SUMPRODUCT(('Fringe Calculations'!O2:O100)*('Fringe Calculations'!C2:C100)))*(1+E88)^9*(1+D88)</f>
        <v>0</v>
      </c>
      <c r="Y88" s="383"/>
      <c r="Z88" s="316">
        <f>SUM(F88:Y88)</f>
        <v>0</v>
      </c>
      <c r="AA88" s="332"/>
    </row>
    <row r="89" spans="1:27" ht="15" customHeight="1" x14ac:dyDescent="0.25">
      <c r="A89" s="458" t="s">
        <v>236</v>
      </c>
      <c r="B89" s="458"/>
      <c r="C89" s="458"/>
      <c r="D89" s="321">
        <v>0.05</v>
      </c>
      <c r="E89" s="321">
        <v>0.05</v>
      </c>
      <c r="F89" s="357">
        <f>SUMPRODUCT(('Fringe Calculations'!F2:F100)*('Fringe Calculations'!D2:D100))*(1+D89)</f>
        <v>0</v>
      </c>
      <c r="G89" s="357"/>
      <c r="H89" s="357">
        <f>(SUMPRODUCT(('Fringe Calculations'!G2:G100)*('Fringe Calculations'!D2:D100)))*(1+E89)^1*(1+D89)</f>
        <v>0</v>
      </c>
      <c r="I89" s="357"/>
      <c r="J89" s="357">
        <f>(SUMPRODUCT(('Fringe Calculations'!H2:H100)*('Fringe Calculations'!D2:D100)))*(1+E89)^2*(1+D89)</f>
        <v>0</v>
      </c>
      <c r="K89" s="357"/>
      <c r="L89" s="357">
        <f>(SUMPRODUCT(('Fringe Calculations'!I2:I100)*('Fringe Calculations'!D2:D100)))*(1+E89)^3*(1+D89)</f>
        <v>0</v>
      </c>
      <c r="M89" s="357"/>
      <c r="N89" s="357">
        <f>(SUMPRODUCT(('Fringe Calculations'!J2:J100)*('Fringe Calculations'!D2:D100)))*(1+E89)^4*(1+D89)</f>
        <v>0</v>
      </c>
      <c r="O89" s="357"/>
      <c r="P89" s="357">
        <f>(SUMPRODUCT(('Fringe Calculations'!K2:K100)*('Fringe Calculations'!D2:D100)))*(1+E89)^5*(1+D89)</f>
        <v>0</v>
      </c>
      <c r="Q89" s="357"/>
      <c r="R89" s="357">
        <f>(SUMPRODUCT(('Fringe Calculations'!L2:L100)*('Fringe Calculations'!D2:D100)))*(1+E89)^6*(1+D89)</f>
        <v>0</v>
      </c>
      <c r="S89" s="357"/>
      <c r="T89" s="357">
        <f>(SUMPRODUCT(('Fringe Calculations'!M2:M100)*('Fringe Calculations'!D2:D100)))*(1+E89)^7*(1+D89)</f>
        <v>0</v>
      </c>
      <c r="U89" s="357"/>
      <c r="V89" s="357">
        <f>(SUMPRODUCT(('Fringe Calculations'!N2:N100)*('Fringe Calculations'!D2:D100)))*(1+E89)^8*(1+D89)</f>
        <v>0</v>
      </c>
      <c r="W89" s="357"/>
      <c r="X89" s="357">
        <f>(SUMPRODUCT(('Fringe Calculations'!O2:O100)*('Fringe Calculations'!D2:D100)))*(1+E89)^9*(1+D89)</f>
        <v>0</v>
      </c>
      <c r="Y89" s="383"/>
      <c r="Z89" s="316">
        <f>SUM(F89:Y89)</f>
        <v>0</v>
      </c>
      <c r="AA89" s="332"/>
    </row>
    <row r="90" spans="1:27" ht="15" customHeight="1" x14ac:dyDescent="0.25">
      <c r="A90" s="458" t="s">
        <v>19</v>
      </c>
      <c r="B90" s="458"/>
      <c r="C90" s="458"/>
      <c r="D90" s="321">
        <v>0.1</v>
      </c>
      <c r="E90" s="321">
        <v>0.1</v>
      </c>
      <c r="F90" s="357">
        <f>SUMPRODUCT(('Fringe Calculations'!F2:F100)*('Fringe Calculations'!E2:E100))*(1+D90)</f>
        <v>0</v>
      </c>
      <c r="G90" s="357"/>
      <c r="H90" s="357">
        <f>(SUMPRODUCT(('Fringe Calculations'!G2:G100)*('Fringe Calculations'!E2:E100)))*(1+E90)^1*(1+D90)</f>
        <v>0</v>
      </c>
      <c r="I90" s="357"/>
      <c r="J90" s="357">
        <f>(SUMPRODUCT(('Fringe Calculations'!H2:H100)*('Fringe Calculations'!E2:E100)))*(1+E90)^2*(1+D90)</f>
        <v>0</v>
      </c>
      <c r="K90" s="357"/>
      <c r="L90" s="357">
        <f>(SUMPRODUCT(('Fringe Calculations'!I2:I100)*('Fringe Calculations'!E2:E100)))*(1+E90)^3*(1+D90)</f>
        <v>0</v>
      </c>
      <c r="M90" s="357"/>
      <c r="N90" s="357">
        <f>(SUMPRODUCT(('Fringe Calculations'!J2:J100)*('Fringe Calculations'!E2:E100)))*(1+E90)^4*(1+D90)</f>
        <v>0</v>
      </c>
      <c r="O90" s="357"/>
      <c r="P90" s="357">
        <f>(SUMPRODUCT(('Fringe Calculations'!K2:K100)*('Fringe Calculations'!E2:E100)))*(1+E90)^5*(1+D90)</f>
        <v>0</v>
      </c>
      <c r="Q90" s="357"/>
      <c r="R90" s="357">
        <f>(SUMPRODUCT(('Fringe Calculations'!L2:L100)*('Fringe Calculations'!E2:E100)))*(1+E90)^6*(1+D90)</f>
        <v>0</v>
      </c>
      <c r="S90" s="357"/>
      <c r="T90" s="357">
        <f>(SUMPRODUCT(('Fringe Calculations'!M2:M100)*('Fringe Calculations'!E2:E100)))*(1+E90)^7*(1+D90)</f>
        <v>0</v>
      </c>
      <c r="U90" s="357"/>
      <c r="V90" s="357">
        <f>(SUMPRODUCT(('Fringe Calculations'!N2:N100)*('Fringe Calculations'!E2:E100)))*(1+E90)^8*(1+D90)</f>
        <v>0</v>
      </c>
      <c r="W90" s="357"/>
      <c r="X90" s="357">
        <f>(SUMPRODUCT(('Fringe Calculations'!O2:O100)*('Fringe Calculations'!E2:E100)))*(1+E90)^9*(1-D90)</f>
        <v>0</v>
      </c>
      <c r="Y90" s="383"/>
      <c r="Z90" s="316">
        <f t="shared" ref="Z90" si="9">SUM(F90:Y90)</f>
        <v>0</v>
      </c>
      <c r="AA90" s="332"/>
    </row>
    <row r="91" spans="1:27" ht="15" customHeight="1" x14ac:dyDescent="0.25">
      <c r="A91" s="452" t="s">
        <v>20</v>
      </c>
      <c r="B91" s="453"/>
      <c r="C91" s="453"/>
      <c r="D91" s="453"/>
      <c r="E91" s="454"/>
      <c r="F91" s="429"/>
      <c r="G91" s="360"/>
      <c r="H91" s="360"/>
      <c r="I91" s="360"/>
      <c r="J91" s="360"/>
      <c r="K91" s="360"/>
      <c r="L91" s="360"/>
      <c r="M91" s="360"/>
      <c r="N91" s="360"/>
      <c r="O91" s="360"/>
      <c r="P91" s="360"/>
      <c r="Q91" s="360"/>
      <c r="R91" s="360"/>
      <c r="S91" s="360"/>
      <c r="T91" s="360"/>
      <c r="U91" s="360"/>
      <c r="V91" s="360"/>
      <c r="W91" s="360"/>
      <c r="X91" s="360"/>
      <c r="Y91" s="360"/>
      <c r="Z91" s="318"/>
      <c r="AA91" s="330"/>
    </row>
    <row r="92" spans="1:27" ht="15" customHeight="1" x14ac:dyDescent="0.25">
      <c r="A92" s="353" t="s">
        <v>44</v>
      </c>
      <c r="B92" s="354"/>
      <c r="C92" s="354"/>
      <c r="D92" s="354"/>
      <c r="E92" s="355"/>
      <c r="F92" s="384">
        <f>IF(F91="",(SUM(F88:G90)), F91)</f>
        <v>0</v>
      </c>
      <c r="G92" s="384"/>
      <c r="H92" s="384">
        <f>IF(H91="",(SUM(H88:I90)), H91)</f>
        <v>0</v>
      </c>
      <c r="I92" s="384"/>
      <c r="J92" s="384">
        <f t="shared" ref="J92" si="10">IF(J91="",(SUM(J88:K90)), J91)</f>
        <v>0</v>
      </c>
      <c r="K92" s="384"/>
      <c r="L92" s="384">
        <f t="shared" ref="L92" si="11">IF(L91="",(SUM(L88:M90)), L91)</f>
        <v>0</v>
      </c>
      <c r="M92" s="384"/>
      <c r="N92" s="384">
        <f t="shared" ref="N92" si="12">IF(N91="",(SUM(N88:O90)), N91)</f>
        <v>0</v>
      </c>
      <c r="O92" s="384"/>
      <c r="P92" s="384">
        <f t="shared" ref="P92" si="13">IF(P91="",(SUM(P88:Q90)), P91)</f>
        <v>0</v>
      </c>
      <c r="Q92" s="384"/>
      <c r="R92" s="384">
        <f t="shared" ref="R92" si="14">IF(R91="",(SUM(R88:S90)), R91)</f>
        <v>0</v>
      </c>
      <c r="S92" s="384"/>
      <c r="T92" s="384">
        <f t="shared" ref="T92" si="15">IF(T91="",(SUM(T88:U90)), T91)</f>
        <v>0</v>
      </c>
      <c r="U92" s="384"/>
      <c r="V92" s="384">
        <f t="shared" ref="V92" si="16">IF(V91="",(SUM(V88:W90)), V91)</f>
        <v>0</v>
      </c>
      <c r="W92" s="384"/>
      <c r="X92" s="384">
        <f t="shared" ref="X92" si="17">IF(X91="",(SUM(X88:Y90)), X91)</f>
        <v>0</v>
      </c>
      <c r="Y92" s="384"/>
      <c r="Z92" s="319">
        <f>SUM(F92:Y92)</f>
        <v>0</v>
      </c>
      <c r="AA92" s="333"/>
    </row>
    <row r="93" spans="1:27" ht="15" customHeight="1" x14ac:dyDescent="0.25">
      <c r="A93" s="353" t="s">
        <v>424</v>
      </c>
      <c r="B93" s="354"/>
      <c r="C93" s="354"/>
      <c r="D93" s="354"/>
      <c r="E93" s="355"/>
      <c r="F93" s="356">
        <f>SUMIF('Salary &amp; Fringe'!$E$1:$E$300,"Grad",'Salary &amp; Fringe'!$W$1:$W$300)+SUMIF('Salary &amp; Fringe'!$E$1:$E$300,"Grad",'Salary &amp; Fringe'!$AG$1:$AG$300)+TotalGSR1</f>
        <v>0</v>
      </c>
      <c r="G93" s="356"/>
      <c r="H93" s="356">
        <f>SUMIF('Salary &amp; Fringe'!$E$1:$E$300,"Grad",'Salary &amp; Fringe'!$X$1:$X$300)+SUMIF('Salary &amp; Fringe'!$E$1:$E$300,"Grad",'Salary &amp; Fringe'!$AH$1:$AH$300)+TotalGSR2</f>
        <v>0</v>
      </c>
      <c r="I93" s="356"/>
      <c r="J93" s="356">
        <f>SUMIF('Salary &amp; Fringe'!$E$1:$E$300,"Grad",'Salary &amp; Fringe'!$Y$1:$Y$300)+SUMIF('Salary &amp; Fringe'!$E$1:$E$300,"Grad",'Salary &amp; Fringe'!$AI$1:$AI$300)+TotalGSR3</f>
        <v>0</v>
      </c>
      <c r="K93" s="356"/>
      <c r="L93" s="356">
        <f>SUMIF('Salary &amp; Fringe'!$E$1:$E$300,"Grad",'Salary &amp; Fringe'!$Z$1:$Z$300)+SUMIF('Salary &amp; Fringe'!$E$1:$E$300,"Grad",'Salary &amp; Fringe'!$AJ$1:$AJ$300)+TotalGSR4</f>
        <v>0</v>
      </c>
      <c r="M93" s="356"/>
      <c r="N93" s="356">
        <f>SUMIF('Salary &amp; Fringe'!$E$1:$E$300,"Grad",'Salary &amp; Fringe'!$AA$1:$AA$300)+SUMIF('Salary &amp; Fringe'!$E$1:$E$300,"Grad",'Salary &amp; Fringe'!$AK$1:$AK$300)+TotalGSR5</f>
        <v>0</v>
      </c>
      <c r="O93" s="356"/>
      <c r="P93" s="356">
        <f>SUMIF('Salary &amp; Fringe'!$E$1:$E$300,"Grad",'Salary &amp; Fringe'!$AB$1:$AB$300)+SUMIF('Salary &amp; Fringe'!$E$1:$E$300,"Grad",'Salary &amp; Fringe'!$AL$1:$AL$300)+TotalGSR6</f>
        <v>0</v>
      </c>
      <c r="Q93" s="356"/>
      <c r="R93" s="356">
        <f>SUMIF('Salary &amp; Fringe'!$E$1:$E$300,"Grad",'Salary &amp; Fringe'!$AC$1:$AC$300)+SUMIF('Salary &amp; Fringe'!$E$1:$E$300,"Grad",'Salary &amp; Fringe'!$AM$1:$AM$300)+TotalGSR7</f>
        <v>0</v>
      </c>
      <c r="S93" s="356"/>
      <c r="T93" s="356">
        <f>SUMIF('Salary &amp; Fringe'!$E$1:$E$300,"Grad",'Salary &amp; Fringe'!$AD$1:$AD$300)+SUMIF('Salary &amp; Fringe'!$E$1:$E$300,"Grad",'Salary &amp; Fringe'!$AN$1:$AN$300)+TotalGSR8</f>
        <v>0</v>
      </c>
      <c r="U93" s="356"/>
      <c r="V93" s="356">
        <f>SUMIF('Salary &amp; Fringe'!$E$1:$E$300,"Grad",'Salary &amp; Fringe'!$AE$1:$AE$300)+SUMIF('Salary &amp; Fringe'!$E$1:$E$300,"Grad",'Salary &amp; Fringe'!$AO$1:$AO$300)+TotalGSR9</f>
        <v>0</v>
      </c>
      <c r="W93" s="356"/>
      <c r="X93" s="356">
        <f>SUMIF('Salary &amp; Fringe'!$E$1:$E$300,"Grad",'Salary &amp; Fringe'!$AF$1:$AF$300)+SUMIF('Salary &amp; Fringe'!$E$1:$E$300,"Grad",'Salary &amp; Fringe'!$AP$1:$AP$300)+TotalGSR10</f>
        <v>0</v>
      </c>
      <c r="Y93" s="356"/>
      <c r="Z93" s="323">
        <f>SUM(F93:Y93)</f>
        <v>0</v>
      </c>
      <c r="AA93" s="330"/>
    </row>
    <row r="94" spans="1:27" ht="15" customHeight="1" x14ac:dyDescent="0.25">
      <c r="A94" s="320"/>
      <c r="B94" s="380"/>
      <c r="C94" s="381"/>
      <c r="D94" s="381"/>
      <c r="E94" s="381"/>
      <c r="F94" s="180"/>
      <c r="G94" s="180"/>
      <c r="H94" s="180"/>
      <c r="I94" s="180"/>
      <c r="J94" s="180"/>
      <c r="K94" s="180"/>
      <c r="L94" s="180"/>
      <c r="M94" s="180"/>
      <c r="N94" s="180"/>
      <c r="O94" s="180"/>
      <c r="P94" s="180"/>
      <c r="Q94" s="180"/>
      <c r="R94" s="180"/>
      <c r="S94" s="180"/>
      <c r="T94" s="180"/>
      <c r="U94" s="180"/>
      <c r="V94" s="180"/>
      <c r="W94" s="180"/>
      <c r="X94" s="180"/>
      <c r="Y94" s="180"/>
      <c r="Z94" s="181"/>
      <c r="AA94" s="330"/>
    </row>
    <row r="95" spans="1:27" ht="15" customHeight="1" x14ac:dyDescent="0.25">
      <c r="A95" s="320"/>
      <c r="B95" s="382" t="s">
        <v>417</v>
      </c>
      <c r="C95" s="382"/>
      <c r="D95" s="382"/>
      <c r="E95" s="382"/>
      <c r="F95" s="357">
        <f ca="1">TotalODC1+TotalGSR1+TotalSubs1+TotalMulti1</f>
        <v>0</v>
      </c>
      <c r="G95" s="357"/>
      <c r="H95" s="357">
        <f ca="1">TotalODC2+TotalGSR2+TotalSubs2+TotalMulti2</f>
        <v>0</v>
      </c>
      <c r="I95" s="357"/>
      <c r="J95" s="357">
        <f ca="1">TotalODC3+TotalGSR3+TotalSubs3+TotalMulti3</f>
        <v>0</v>
      </c>
      <c r="K95" s="357"/>
      <c r="L95" s="357">
        <f ca="1">TotalODC4+TotalGSR4+TotalSubs4+TotalMulti4</f>
        <v>0</v>
      </c>
      <c r="M95" s="357"/>
      <c r="N95" s="357">
        <f ca="1">TotalODC5+TotalGSR5+TotalSubs5+TotalMulti5</f>
        <v>0</v>
      </c>
      <c r="O95" s="357"/>
      <c r="P95" s="357">
        <f ca="1">TotalODC6+TotalGSR6+TotalSubs6+TotalMulti6</f>
        <v>0</v>
      </c>
      <c r="Q95" s="357"/>
      <c r="R95" s="357">
        <f ca="1">TotalODC7+TotalGSR7+TotalSubs7+TotalMulti7</f>
        <v>0</v>
      </c>
      <c r="S95" s="357"/>
      <c r="T95" s="357">
        <f ca="1">TotalODC8+TotalGSR8+TotalSubs8+TotalMulti8</f>
        <v>0</v>
      </c>
      <c r="U95" s="357"/>
      <c r="V95" s="357">
        <f ca="1">TotalODC9+TotalGSR9+TotalSubs9+TotalMulti9</f>
        <v>0</v>
      </c>
      <c r="W95" s="357"/>
      <c r="X95" s="357">
        <f ca="1">TotalODC10+TotalGSR10+TotalSubs10+TotalMulti10</f>
        <v>0</v>
      </c>
      <c r="Y95" s="357"/>
      <c r="Z95" s="149">
        <f ca="1">SUM(F95:Y95)</f>
        <v>0</v>
      </c>
      <c r="AA95" s="330"/>
    </row>
    <row r="96" spans="1:27" ht="15" customHeight="1" x14ac:dyDescent="0.25">
      <c r="A96" s="390"/>
      <c r="B96" s="25"/>
      <c r="C96" s="25"/>
      <c r="D96" s="25"/>
      <c r="E96" s="25"/>
      <c r="F96" s="117"/>
      <c r="G96" s="117"/>
      <c r="H96" s="117"/>
      <c r="I96" s="117"/>
      <c r="J96" s="117"/>
      <c r="K96" s="117"/>
      <c r="L96" s="117"/>
      <c r="M96" s="117"/>
      <c r="N96" s="117"/>
      <c r="O96" s="117"/>
      <c r="P96" s="117"/>
      <c r="Q96" s="117"/>
      <c r="R96" s="117"/>
      <c r="S96" s="117"/>
      <c r="T96" s="117"/>
      <c r="U96" s="117"/>
      <c r="V96" s="117"/>
      <c r="W96" s="117"/>
      <c r="X96" s="117"/>
      <c r="Y96" s="117"/>
      <c r="Z96" s="118"/>
      <c r="AA96" s="330"/>
    </row>
    <row r="97" spans="1:27" ht="15" customHeight="1" x14ac:dyDescent="0.25">
      <c r="A97" s="390"/>
      <c r="B97" s="382" t="s">
        <v>22</v>
      </c>
      <c r="C97" s="382"/>
      <c r="D97" s="382"/>
      <c r="E97" s="382"/>
      <c r="F97" s="357">
        <f ca="1">TotalSalary1+TotalFringe1+TotalDomTravel1+TotalForTravel1+TotalEquipment1+TotalParSupport1+TotalNonStd1+TotalODCGSR1</f>
        <v>0</v>
      </c>
      <c r="G97" s="357"/>
      <c r="H97" s="357">
        <f ca="1">TotalSalary2+TotalFringe2+TotalDomTravel2+TotalForTravel2+TotalEquipment2+TotalParSupport2+TotalNonStd2+TotalODCGSR2</f>
        <v>0</v>
      </c>
      <c r="I97" s="357"/>
      <c r="J97" s="357">
        <f ca="1">TotalSalary3+TotalFringe3+TotalDomTravel3+TotalForTravel3+TotalEquipment3+TotalParSupport3+TotalNonStd3+TotalODCGSR3</f>
        <v>0</v>
      </c>
      <c r="K97" s="357"/>
      <c r="L97" s="357">
        <f ca="1">TotalSalary4+TotalFringe4+TotalDomTravel4+TotalForTravel4+TotalEquipment4+TotalParSupport4+TotalNonStd4+TotalODCGSR4</f>
        <v>0</v>
      </c>
      <c r="M97" s="357"/>
      <c r="N97" s="357">
        <f ca="1">TotalSalary5+TotalFringe5+TotalDomTravel5+TotalForTravel5+TotalEquipment5+TotalParSupport5+TotalNonStd5+TotalODCGSR5</f>
        <v>0</v>
      </c>
      <c r="O97" s="357"/>
      <c r="P97" s="357">
        <f ca="1">TotalSalary6+TotalFringe6+TotalDomTravel6+TotalForTravel6+TotalEquipment6+TotalParSupport6+TotalNonStd6+TotalODCGSR6</f>
        <v>0</v>
      </c>
      <c r="Q97" s="357"/>
      <c r="R97" s="357">
        <f ca="1">TotalSalary7+TotalFringe7+TotalDomTravel7+TotalForTravel7+TotalEquipment7+TotalParSupport7+TotalNonStd7+TotalODCGSR7</f>
        <v>0</v>
      </c>
      <c r="S97" s="357"/>
      <c r="T97" s="357">
        <f ca="1">TotalSalary8+TotalFringe8+TotalDomTravel8+TotalForTravel8+TotalEquipment8+TotalParSupport8+TotalNonStd8+TotalODCGSR8</f>
        <v>0</v>
      </c>
      <c r="U97" s="357"/>
      <c r="V97" s="357">
        <f ca="1">TotalSalary9+TotalFringe9+TotalDomTravel9+TotalForTravel9+TotalEquipment9+TotalParSupport9+TotalNonStd9+TotalODCGSR9</f>
        <v>0</v>
      </c>
      <c r="W97" s="357"/>
      <c r="X97" s="357">
        <f ca="1">TotalSalary10+TotalFringe10+TotalDomTravel10+TotalForTravel10+TotalEquipment10+TotalParSupport10+TotalNonStd10+TotalODCGSR10</f>
        <v>0</v>
      </c>
      <c r="Y97" s="383"/>
      <c r="Z97" s="169"/>
      <c r="AA97" s="330"/>
    </row>
    <row r="98" spans="1:27" ht="15" customHeight="1" thickBot="1" x14ac:dyDescent="0.3">
      <c r="A98" s="390"/>
      <c r="B98" s="395" t="s">
        <v>23</v>
      </c>
      <c r="C98" s="395"/>
      <c r="D98" s="395"/>
      <c r="E98" s="395"/>
      <c r="F98" s="396"/>
      <c r="G98" s="396"/>
      <c r="H98" s="396"/>
      <c r="I98" s="396"/>
      <c r="J98" s="396"/>
      <c r="K98" s="396"/>
      <c r="L98" s="396"/>
      <c r="M98" s="396"/>
      <c r="N98" s="396"/>
      <c r="O98" s="396"/>
      <c r="P98" s="396"/>
      <c r="Q98" s="396"/>
      <c r="R98" s="396"/>
      <c r="S98" s="396"/>
      <c r="T98" s="396"/>
      <c r="U98" s="396"/>
      <c r="V98" s="396"/>
      <c r="W98" s="396"/>
      <c r="X98" s="396"/>
      <c r="Y98" s="396"/>
      <c r="Z98" s="169"/>
      <c r="AA98" s="330"/>
    </row>
    <row r="99" spans="1:27" ht="15" customHeight="1" thickBot="1" x14ac:dyDescent="0.3">
      <c r="A99" s="391"/>
      <c r="B99" s="393" t="s">
        <v>286</v>
      </c>
      <c r="C99" s="394"/>
      <c r="D99" s="394"/>
      <c r="E99" s="394"/>
      <c r="F99" s="387">
        <f ca="1">ROUND(IF(F98="",F97, F98),0)</f>
        <v>0</v>
      </c>
      <c r="G99" s="387"/>
      <c r="H99" s="387">
        <f ca="1">ROUND(IF(H98="",H97, H98),0)</f>
        <v>0</v>
      </c>
      <c r="I99" s="387"/>
      <c r="J99" s="387">
        <f ca="1">ROUND(IF(J98="",J97, J98),0)</f>
        <v>0</v>
      </c>
      <c r="K99" s="387"/>
      <c r="L99" s="387">
        <f ca="1">ROUND(IF(L98="",L97, L98),0)</f>
        <v>0</v>
      </c>
      <c r="M99" s="387"/>
      <c r="N99" s="387">
        <f ca="1">ROUND(IF(N98="",N97, N98),0)</f>
        <v>0</v>
      </c>
      <c r="O99" s="387"/>
      <c r="P99" s="387">
        <f ca="1">ROUND(IF(P98="",P97, P98),0)</f>
        <v>0</v>
      </c>
      <c r="Q99" s="387"/>
      <c r="R99" s="387">
        <f ca="1">ROUND(IF(R98="",R97, R98),0)</f>
        <v>0</v>
      </c>
      <c r="S99" s="387"/>
      <c r="T99" s="387">
        <f ca="1">ROUND(IF(T98="",T97, T98),0)</f>
        <v>0</v>
      </c>
      <c r="U99" s="387"/>
      <c r="V99" s="387">
        <f ca="1">ROUND(IF(V98="",V97, V98),0)</f>
        <v>0</v>
      </c>
      <c r="W99" s="387"/>
      <c r="X99" s="387">
        <f ca="1">ROUND(IF(X98="",X97, X98),0)</f>
        <v>0</v>
      </c>
      <c r="Y99" s="387"/>
      <c r="Z99" s="160">
        <f ca="1">SUM(F99:Y99)</f>
        <v>0</v>
      </c>
      <c r="AA99" s="330"/>
    </row>
    <row r="100" spans="1:27" ht="15" customHeight="1" x14ac:dyDescent="0.25">
      <c r="A100" s="390"/>
      <c r="B100" s="26"/>
      <c r="C100" s="26"/>
      <c r="D100" s="26"/>
      <c r="E100" s="26"/>
      <c r="F100" s="117"/>
      <c r="G100" s="117"/>
      <c r="H100" s="117"/>
      <c r="I100" s="117"/>
      <c r="J100" s="117"/>
      <c r="K100" s="117"/>
      <c r="L100" s="117"/>
      <c r="M100" s="117"/>
      <c r="N100" s="117"/>
      <c r="O100" s="117"/>
      <c r="P100" s="117"/>
      <c r="Q100" s="117"/>
      <c r="R100" s="117"/>
      <c r="S100" s="117"/>
      <c r="T100" s="117"/>
      <c r="U100" s="117"/>
      <c r="V100" s="117"/>
      <c r="W100" s="117"/>
      <c r="X100" s="117"/>
      <c r="Y100" s="117"/>
      <c r="Z100" s="118"/>
      <c r="AA100" s="330"/>
    </row>
    <row r="101" spans="1:27" ht="15" customHeight="1" x14ac:dyDescent="0.25">
      <c r="A101" s="390"/>
      <c r="B101" s="382" t="s">
        <v>24</v>
      </c>
      <c r="C101" s="382"/>
      <c r="D101" s="382"/>
      <c r="E101" s="382"/>
      <c r="F101" s="386">
        <f ca="1">IF(ISNUMBER(SEARCH("MTDC",$D$10)),TotalSalary1+TotalFringe1+TotalDomTravel1+TotalForTravel1+(SUM(OFFSET(SubCalc1,1,0):EndSubCalc1))+TotalODC1,IF(ISNUMBER(SEARCH("TDC",$D$10)),TotalDC1-TotalNonStd1-TotalMulti1-TotalSubs1,IF(ISNUMBER(SEARCH("TC",$D$10)),TotalDC1-TotalNonStd1-TotalMulti1-TotalSubs1,IF(ISNUMBER(SEARCH("--",$D$10)),0,TotalSalary1+TotalFringe1+TotalDomTravel1+TotalForTravel1+(SUM(OFFSET(SubCalc1,1,0):EndSubCalc1))+TotalODC1))))</f>
        <v>0</v>
      </c>
      <c r="G101" s="386"/>
      <c r="H101" s="386">
        <f ca="1">IF(ISNUMBER(SEARCH("MTDC",$D$10)),TotalSalary2+TotalFringe2+TotalDomTravel2+TotalForTravel2+(SUM(OFFSET(SubCalc2,1,0):EndSubCalc2))+TotalODC2,IF(ISNUMBER(SEARCH("TDC",$D$10)),TotalDC2-TotalNonStd2-TotalMulti2-TotalSubs2,IF(ISNUMBER(SEARCH("TC",$D$10)),TotalDC2-TotalNonStd2-TotalMulti2-TotalSubs2,IF(ISNUMBER(SEARCH("--",$D$10)),0,TotalSalary2+TotalFringe2+TotalDomTravel2+TotalForTravel2+(SUM(OFFSET(SubCalc2,1,0):EndSubCalc2))+TotalODC2))))</f>
        <v>0</v>
      </c>
      <c r="I101" s="386"/>
      <c r="J101" s="386">
        <f ca="1">IF(ISNUMBER(SEARCH("MTDC",$D$10)),TotalSalary3+TotalFringe3+TotalDomTravel3+TotalForTravel3+(SUM(OFFSET(SubCalc3,1,0):EndSubCalc3))+TotalODC3,IF(ISNUMBER(SEARCH("TDC",$D$10)),TotalDC3-TotalNonStd3-TotalMulti3-TotalSubs3,IF(ISNUMBER(SEARCH("TC",$D$10)),TotalDC3-TotalNonStd3-TotalMulti3-TotalSubs3,IF(ISNUMBER(SEARCH("--",$D$10)),0,TotalSalary3+TotalFringe3+TotalDomTravel3+TotalForTravel3+(SUM(OFFSET(SubCalc3,1,0):EndSubCalc3))+TotalODC3))))</f>
        <v>0</v>
      </c>
      <c r="K101" s="386"/>
      <c r="L101" s="386">
        <f ca="1">IF(ISNUMBER(SEARCH("MTDC",$D$10)),TotalSalary4+TotalFringe4+TotalDomTravel4+TotalForTravel4+(SUM(OFFSET(SubCalc4,1,0):EndSubCalc4))+TotalODC4,IF(ISNUMBER(SEARCH("TDC",$D$10)),TotalDC4-TotalNonStd4-TotalMulti4-TotalSubs4,IF(ISNUMBER(SEARCH("TC",$D$10)),TotalDC4-TotalNonStd4-TotalMulti4-TotalSubs4,IF(ISNUMBER(SEARCH("--",$D$10)),0,TotalSalary4+TotalFringe4+TotalDomTravel4+TotalForTravel4+(SUM(OFFSET(SubCalc4,1,0):EndSubCalc4))+TotalODC4))))</f>
        <v>0</v>
      </c>
      <c r="M101" s="386"/>
      <c r="N101" s="386">
        <f ca="1">IF(ISNUMBER(SEARCH("MTDC",$D$10)),TotalSalary5+TotalFringe5+TotalDomTravel5+TotalForTravel5+(SUM(OFFSET(SubCalc5,1,0):EndSubCalc5))+TotalODC5,IF(ISNUMBER(SEARCH("TDC",$D$10)),TotalDC5-TotalNonStd5-TotalMulti5-TotalSubs5,IF(ISNUMBER(SEARCH("TC",$D$10)),TotalDC5-TotalNonStd5-TotalMulti5-TotalSubs5,IF(ISNUMBER(SEARCH("--",$D$10)),0,TotalSalary5+TotalFringe5+TotalDomTravel5+TotalForTravel5+(SUM(OFFSET(SubCalc5,1,0):EndSubCalc5))+TotalODC5))))</f>
        <v>0</v>
      </c>
      <c r="O101" s="386"/>
      <c r="P101" s="386">
        <f ca="1">IF(ISNUMBER(SEARCH("MTDC",$D$10)),TotalSalary6+TotalFringe6+TotalDomTravel6+TotalForTravel6+(SUM(OFFSET(SubCalc6,1,0):EndSubCalc6))+TotalODC6,IF(ISNUMBER(SEARCH("TDC",$D$10)),TotalDC6-TotalNonStd6-TotalMulti6-TotalSubs6,IF(ISNUMBER(SEARCH("TC",$D$10)),TotalDC6-TotalNonStd6-TotalMulti6-TotalSubs6,IF(ISNUMBER(SEARCH("--",$D$10)),0,TotalSalary6+TotalFringe6+TotalDomTravel6+TotalForTravel6+(SUM(OFFSET(SubCalc6,1,0):EndSubCalc6))+TotalODC6))))</f>
        <v>0</v>
      </c>
      <c r="Q101" s="386"/>
      <c r="R101" s="386">
        <f ca="1">IF(ISNUMBER(SEARCH("MTDC",$D$10)),TotalSalary7+TotalFringe7+TotalDomTravel7+TotalForTravel7+(SUM(OFFSET(SubCalc7,1,0):EndSubCalc7))+TotalODC7,IF(ISNUMBER(SEARCH("TDC",$D$10)),TotalDC7-TotalNonStd7-TotalMulti7-TotalSubs7,IF(ISNUMBER(SEARCH("TC",$D$10)),TotalDC7-TotalNonStd7-TotalMulti7-TotalSubs7,IF(ISNUMBER(SEARCH("--",$D$10)),0,TotalSalary7+TotalFringe7+TotalDomTravel7+TotalForTravel7+(SUM(OFFSET(SubCalc7,1,0):EndSubCalc7))+TotalODC7))))</f>
        <v>0</v>
      </c>
      <c r="S101" s="386"/>
      <c r="T101" s="386">
        <f ca="1">IF(ISNUMBER(SEARCH("MTDC",$D$10)),TotalSalary8+TotalFringe8+TotalDomTravel8+TotalForTravel8+(SUM(OFFSET(SubCalc8,1,0):EndSubCalc8))+TotalODC8,IF(ISNUMBER(SEARCH("TDC",$D$10)),TotalDC8-TotalNonStd8-TotalMulti8-TotalSubs8,IF(ISNUMBER(SEARCH("TC",$D$10)),TotalDC8-TotalNonStd8-TotalMulti8-TotalSubs8,IF(ISNUMBER(SEARCH("--",$D$10)),0,TotalSalary8+TotalFringe8+TotalDomTravel8+TotalForTravel8+(SUM(OFFSET(SubCalc8,1,0):EndSubCalc8))+TotalODC8))))</f>
        <v>0</v>
      </c>
      <c r="U101" s="386"/>
      <c r="V101" s="386">
        <f ca="1">IF(ISNUMBER(SEARCH("MTDC",$D$10)),TotalSalary9+TotalFringe9+TotalDomTravel9+TotalForTravel9+(SUM(OFFSET(SubCalc9,1,0):EndSubCalc9))+TotalODC9,IF(ISNUMBER(SEARCH("TDC",$D$10)),TotalDC9-TotalNonStd9-TotalMulti9-TotalSubs9,IF(ISNUMBER(SEARCH("TC",$D$10)),TotalDC9-TotalNonStd9-TotalMulti9-TotalSubs9,IF(ISNUMBER(SEARCH("--",$D$10)),0,TotalSalary9+TotalFringe9+TotalDomTravel9+TotalForTravel9+(SUM(OFFSET(SubCalc9,1,0):EndSubCalc9))+TotalODC9))))</f>
        <v>0</v>
      </c>
      <c r="W101" s="386"/>
      <c r="X101" s="386">
        <f ca="1">IF(ISNUMBER(SEARCH("MTDC",$D$10)),TotalSalary10+TotalFringe10+TotalDomTravel10+TotalForTravel10+(SUM(OFFSET(SubCalc10,1,0):EndSubCalc10))+TotalODC10,IF(ISNUMBER(SEARCH("TDC",$D$10)),TotalDC10-TotalNonStd10-TotalMulti10-TotalSubs10,IF(ISNUMBER(SEARCH("TC",$D$10)),TotalDC10-TotalNonStd10-TotalMulti10-TotalSubs10,IF(ISNUMBER(SEARCH("--",$D$10)),0,TotalSalary10+TotalFringe10+TotalDomTravel10+TotalForTravel10+(SUM(OFFSET(SubCalc10,1,0):EndSubCalc10))+TotalODC10))))</f>
        <v>0</v>
      </c>
      <c r="Y101" s="430"/>
      <c r="Z101" s="169"/>
      <c r="AA101" s="330"/>
    </row>
    <row r="102" spans="1:27" ht="15" customHeight="1" x14ac:dyDescent="0.25">
      <c r="A102" s="390"/>
      <c r="B102" s="382" t="s">
        <v>25</v>
      </c>
      <c r="C102" s="382"/>
      <c r="D102" s="382"/>
      <c r="E102" s="382"/>
      <c r="F102" s="360"/>
      <c r="G102" s="360"/>
      <c r="H102" s="360"/>
      <c r="I102" s="360"/>
      <c r="J102" s="360"/>
      <c r="K102" s="360"/>
      <c r="L102" s="360"/>
      <c r="M102" s="360"/>
      <c r="N102" s="360"/>
      <c r="O102" s="360"/>
      <c r="P102" s="360"/>
      <c r="Q102" s="360"/>
      <c r="R102" s="360"/>
      <c r="S102" s="360"/>
      <c r="T102" s="360"/>
      <c r="U102" s="360"/>
      <c r="V102" s="360"/>
      <c r="W102" s="360"/>
      <c r="X102" s="360"/>
      <c r="Y102" s="360"/>
      <c r="Z102" s="169"/>
      <c r="AA102" s="330"/>
    </row>
    <row r="103" spans="1:27" ht="15" customHeight="1" x14ac:dyDescent="0.25">
      <c r="A103" s="390"/>
      <c r="B103" s="385" t="s">
        <v>291</v>
      </c>
      <c r="C103" s="385"/>
      <c r="D103" s="385"/>
      <c r="E103" s="385"/>
      <c r="F103" s="358">
        <f ca="1">ROUND(IF(F102="",F101, F102),0)</f>
        <v>0</v>
      </c>
      <c r="G103" s="358"/>
      <c r="H103" s="358">
        <f ca="1">ROUND(IF(H102="",H101, H102),0)</f>
        <v>0</v>
      </c>
      <c r="I103" s="358"/>
      <c r="J103" s="358">
        <f ca="1">ROUND(IF(J102="",J101, J102),0)</f>
        <v>0</v>
      </c>
      <c r="K103" s="358"/>
      <c r="L103" s="358">
        <f ca="1">ROUND(IF(L102="",L101, L102),0)</f>
        <v>0</v>
      </c>
      <c r="M103" s="358"/>
      <c r="N103" s="358">
        <f ca="1">ROUND(IF(N102="",N101, N102),0)</f>
        <v>0</v>
      </c>
      <c r="O103" s="358"/>
      <c r="P103" s="358">
        <f ca="1">ROUND(IF(P102="",P101, P102),0)</f>
        <v>0</v>
      </c>
      <c r="Q103" s="358"/>
      <c r="R103" s="358">
        <f ca="1">ROUND(IF(R102="",R101, R102),0)</f>
        <v>0</v>
      </c>
      <c r="S103" s="358"/>
      <c r="T103" s="358">
        <f ca="1">ROUND(IF(T102="",T101, T102),0)</f>
        <v>0</v>
      </c>
      <c r="U103" s="358"/>
      <c r="V103" s="358">
        <f ca="1">ROUND(IF(V102="",V101, V102),0)</f>
        <v>0</v>
      </c>
      <c r="W103" s="358"/>
      <c r="X103" s="358">
        <f ca="1">ROUND(IF(X102="",X101, X102),0)</f>
        <v>0</v>
      </c>
      <c r="Y103" s="358"/>
      <c r="Z103" s="182">
        <f ca="1">SUM(F103:Y103)</f>
        <v>0</v>
      </c>
      <c r="AA103" s="330"/>
    </row>
    <row r="104" spans="1:27" ht="15" customHeight="1" x14ac:dyDescent="0.25">
      <c r="A104" s="390"/>
      <c r="B104" s="26"/>
      <c r="C104" s="26"/>
      <c r="D104" s="26"/>
      <c r="E104" s="26"/>
      <c r="F104" s="14"/>
      <c r="G104" s="14"/>
      <c r="H104" s="14"/>
      <c r="I104" s="14"/>
      <c r="J104" s="14"/>
      <c r="K104" s="14"/>
      <c r="L104" s="14"/>
      <c r="M104" s="14"/>
      <c r="N104" s="14"/>
      <c r="O104" s="14"/>
      <c r="P104" s="14"/>
      <c r="Q104" s="14"/>
      <c r="R104" s="14"/>
      <c r="S104" s="14"/>
      <c r="T104" s="14"/>
      <c r="U104" s="14"/>
      <c r="V104" s="14"/>
      <c r="W104" s="14"/>
      <c r="X104" s="14"/>
      <c r="Y104" s="14"/>
      <c r="Z104" s="15"/>
      <c r="AA104" s="330"/>
    </row>
    <row r="105" spans="1:27" ht="15" customHeight="1" x14ac:dyDescent="0.25">
      <c r="A105" s="390"/>
      <c r="B105" s="382" t="s">
        <v>18</v>
      </c>
      <c r="C105" s="382"/>
      <c r="D105" s="382"/>
      <c r="E105" s="382"/>
      <c r="F105" s="388" t="str">
        <f>IF(B10="", 54%, B10)</f>
        <v xml:space="preserve"> </v>
      </c>
      <c r="G105" s="388"/>
      <c r="H105" s="388" t="str">
        <f>IF(F105=53%,53.5%,IF(F105=53.5%,54%,F105))</f>
        <v xml:space="preserve"> </v>
      </c>
      <c r="I105" s="388"/>
      <c r="J105" s="388" t="str">
        <f>IF(H105=53.5%,54%,H105)</f>
        <v xml:space="preserve"> </v>
      </c>
      <c r="K105" s="388"/>
      <c r="L105" s="388" t="str">
        <f>J105</f>
        <v xml:space="preserve"> </v>
      </c>
      <c r="M105" s="388"/>
      <c r="N105" s="388" t="str">
        <f>J105</f>
        <v xml:space="preserve"> </v>
      </c>
      <c r="O105" s="388"/>
      <c r="P105" s="388" t="str">
        <f>J105</f>
        <v xml:space="preserve"> </v>
      </c>
      <c r="Q105" s="388"/>
      <c r="R105" s="388" t="str">
        <f>J105</f>
        <v xml:space="preserve"> </v>
      </c>
      <c r="S105" s="388"/>
      <c r="T105" s="388" t="str">
        <f>J105</f>
        <v xml:space="preserve"> </v>
      </c>
      <c r="U105" s="388"/>
      <c r="V105" s="388" t="str">
        <f>J105</f>
        <v xml:space="preserve"> </v>
      </c>
      <c r="W105" s="388"/>
      <c r="X105" s="388" t="str">
        <f>J105</f>
        <v xml:space="preserve"> </v>
      </c>
      <c r="Y105" s="388"/>
      <c r="Z105" s="66"/>
      <c r="AA105" s="330"/>
    </row>
    <row r="106" spans="1:27" ht="15" customHeight="1" x14ac:dyDescent="0.25">
      <c r="A106" s="390"/>
      <c r="B106" s="26"/>
      <c r="C106" s="26"/>
      <c r="D106" s="26"/>
      <c r="E106" s="26"/>
      <c r="F106" s="14"/>
      <c r="G106" s="14"/>
      <c r="H106" s="14"/>
      <c r="I106" s="14"/>
      <c r="J106" s="14"/>
      <c r="K106" s="14"/>
      <c r="L106" s="14"/>
      <c r="M106" s="14"/>
      <c r="N106" s="14"/>
      <c r="O106" s="14"/>
      <c r="P106" s="14"/>
      <c r="Q106" s="14"/>
      <c r="R106" s="14"/>
      <c r="S106" s="14"/>
      <c r="T106" s="14"/>
      <c r="U106" s="14"/>
      <c r="V106" s="14"/>
      <c r="W106" s="14"/>
      <c r="X106" s="14"/>
      <c r="Y106" s="14"/>
      <c r="Z106" s="65"/>
      <c r="AA106" s="330"/>
    </row>
    <row r="107" spans="1:27" ht="15" customHeight="1" x14ac:dyDescent="0.25">
      <c r="A107" s="390"/>
      <c r="B107" s="395" t="s">
        <v>26</v>
      </c>
      <c r="C107" s="395"/>
      <c r="D107" s="395"/>
      <c r="E107" s="395"/>
      <c r="F107" s="389">
        <f ca="1">IFERROR((SUMPRODUCT((OFFSET(ICRate,1,0)):(OFFSET(TotalNonStd1,-1,-1))*(OFFSET(NonStd1,1,0)):(OFFSET(TotalNonStd1,-1,0)))),0)</f>
        <v>0</v>
      </c>
      <c r="G107" s="389"/>
      <c r="H107" s="389">
        <f ca="1">IFERROR((SUMPRODUCT((OFFSET(ICRate,1,0)):(OFFSET(TotalNonStd1,-1,-1))*(OFFSET(NonStd2,1,0)):(OFFSET(TotalNonStd2,-1,0)))),0)</f>
        <v>0</v>
      </c>
      <c r="I107" s="389"/>
      <c r="J107" s="389">
        <f ca="1">IFERROR((SUMPRODUCT((OFFSET(ICRate,1,0)):(OFFSET(TotalNonStd1,-1,-1))*(OFFSET(NonStd3,1,0)):(OFFSET(TotalNonStd3,-1,0)))),0)</f>
        <v>0</v>
      </c>
      <c r="K107" s="389"/>
      <c r="L107" s="389">
        <f ca="1">IFERROR((SUMPRODUCT((OFFSET(ICRate,1,0)):(OFFSET(TotalNonStd1,-1,-1))*(OFFSET(NonStd4,1,0)):(OFFSET(TotalNonStd4,-1,0)))),0)</f>
        <v>0</v>
      </c>
      <c r="M107" s="389"/>
      <c r="N107" s="389">
        <f ca="1">IFERROR((SUMPRODUCT((OFFSET(ICRate,1,0)):(OFFSET(TotalNonStd1,-1,-1))*(OFFSET(NonStd5,1,0)):(OFFSET(TotalNonStd5,-1,0)))),0)</f>
        <v>0</v>
      </c>
      <c r="O107" s="389"/>
      <c r="P107" s="389">
        <f ca="1">IFERROR((SUMPRODUCT((OFFSET(ICRate,1,0)):(OFFSET(TotalNonStd1,-1,-1))*(OFFSET(NonStd6,1,0)):(OFFSET(TotalNonStd6,-1,0)))),0)</f>
        <v>0</v>
      </c>
      <c r="Q107" s="389"/>
      <c r="R107" s="389">
        <f ca="1">IFERROR((SUMPRODUCT((OFFSET(ICRate,1,0)):(OFFSET(TotalNonStd1,-1,-1))*(OFFSET(NonStd7,1,0)):(OFFSET(TotalNonStd7,-1,0)))),0)</f>
        <v>0</v>
      </c>
      <c r="S107" s="389"/>
      <c r="T107" s="389">
        <f ca="1">IFERROR((SUMPRODUCT((OFFSET(ICRate,1,0)):(OFFSET(TotalNonStd1,-1,-1))*(OFFSET(NonStd8,1,0)):(OFFSET(TotalNonStd8,-1,0)))),0)</f>
        <v>0</v>
      </c>
      <c r="U107" s="389"/>
      <c r="V107" s="389">
        <f ca="1">IFERROR((SUMPRODUCT((OFFSET(ICRate,1,0)):(OFFSET(TotalNonStd1,-1,-1))*(OFFSET(NonStd9,1,0)):(OFFSET(TotalNonStd9,-1,0)))),0)</f>
        <v>0</v>
      </c>
      <c r="W107" s="389"/>
      <c r="X107" s="389">
        <f ca="1">IFERROR((SUMPRODUCT((OFFSET(ICRate,1,0)):(OFFSET(TotalNonStd1,-1,-1))*(OFFSET(NonStd10,1,0)):(OFFSET(TotalNonStd10,-1,0)))),0)</f>
        <v>0</v>
      </c>
      <c r="Y107" s="389"/>
      <c r="Z107" s="116">
        <f ca="1">SUM(F107:Y107)</f>
        <v>0</v>
      </c>
      <c r="AA107" s="330"/>
    </row>
    <row r="108" spans="1:27" ht="15" customHeight="1" thickBot="1" x14ac:dyDescent="0.3">
      <c r="A108" s="391"/>
      <c r="B108" s="448" t="s">
        <v>421</v>
      </c>
      <c r="C108" s="449"/>
      <c r="D108" s="449"/>
      <c r="E108" s="450"/>
      <c r="F108" s="451"/>
      <c r="G108" s="429"/>
      <c r="H108" s="451"/>
      <c r="I108" s="429"/>
      <c r="J108" s="451"/>
      <c r="K108" s="429"/>
      <c r="L108" s="451"/>
      <c r="M108" s="429"/>
      <c r="N108" s="451"/>
      <c r="O108" s="429"/>
      <c r="P108" s="451"/>
      <c r="Q108" s="429"/>
      <c r="R108" s="451"/>
      <c r="S108" s="429"/>
      <c r="T108" s="451"/>
      <c r="U108" s="429"/>
      <c r="V108" s="451"/>
      <c r="W108" s="429"/>
      <c r="X108" s="451"/>
      <c r="Y108" s="429"/>
      <c r="Z108" s="324">
        <f>SUM(F108:Y108)</f>
        <v>0</v>
      </c>
      <c r="AA108" s="330"/>
    </row>
    <row r="109" spans="1:27" ht="15" customHeight="1" thickBot="1" x14ac:dyDescent="0.3">
      <c r="A109" s="391"/>
      <c r="B109" s="393" t="s">
        <v>27</v>
      </c>
      <c r="C109" s="394"/>
      <c r="D109" s="394"/>
      <c r="E109" s="394"/>
      <c r="F109" s="379">
        <f ca="1">ROUND(IFERROR(IF(ISNUMBER(SEARCH("TC",$D$10)),F101*(F105/(1-F105))+F107+F108,IF(F102&gt;0,F102*F105+F107+F108,F101*F105+F107+F108)),0),0)</f>
        <v>0</v>
      </c>
      <c r="G109" s="379"/>
      <c r="H109" s="379">
        <f ca="1">ROUND(IFERROR(IF(ISNUMBER(SEARCH("TC",$D$10)),H101*(H105/(1-H105))+H107+H108,IF(H102&gt;0,H102*H105+H107+H108,H101*H105+H107+H108)),0),0)</f>
        <v>0</v>
      </c>
      <c r="I109" s="379"/>
      <c r="J109" s="379">
        <f ca="1">ROUND(IFERROR(IF(ISNUMBER(SEARCH("TC",$D$10)),J101*(J105/(1-J105))+J107+J108,IF(J102&gt;0,J102*J105+J107+J108,J101*J105+J107+J108)),0),0)</f>
        <v>0</v>
      </c>
      <c r="K109" s="379"/>
      <c r="L109" s="379">
        <f ca="1">ROUND(IFERROR(IF(ISNUMBER(SEARCH("TC",$D$10)),L101*(L105/(1-L105))+L107+L108,IF(L102&gt;0,L102*L105+L107+L108,L101*L105+L107+L108)),0),0)</f>
        <v>0</v>
      </c>
      <c r="M109" s="379"/>
      <c r="N109" s="379">
        <f ca="1">ROUND(IFERROR(IF(ISNUMBER(SEARCH("TC",$D$10)),N101*(N105/(1-N105))+N107+N108,IF(N102&gt;0,N102*N105+N107+N108,N101*N105+N107+N108)),0),0)</f>
        <v>0</v>
      </c>
      <c r="O109" s="379"/>
      <c r="P109" s="379">
        <f ca="1">ROUND(IFERROR(IF(ISNUMBER(SEARCH("TC",$D$10)),P101*(P105/(1-P105))+P107+P108,IF(P102&gt;0,P102*P105+P107+P108,P101*P105+P107+P108)),0),0)</f>
        <v>0</v>
      </c>
      <c r="Q109" s="379"/>
      <c r="R109" s="379">
        <f ca="1">ROUND(IFERROR(IF(ISNUMBER(SEARCH("TC",$D$10)),R101*(R105/(1-R105))+R107+R108,IF(R102&gt;0,R102*R105+R107+R108,R101*R105+R107+R108)),0),0)</f>
        <v>0</v>
      </c>
      <c r="S109" s="379"/>
      <c r="T109" s="379">
        <f ca="1">ROUND(IFERROR(IF(ISNUMBER(SEARCH("TC",$D$10)),T101*(T105/(1-T105))+T107+T108,IF(T102&gt;0,T102*T105+T107+T108,T101*T105+T107+T108)),0),0)</f>
        <v>0</v>
      </c>
      <c r="U109" s="379"/>
      <c r="V109" s="379">
        <f ca="1">ROUND(IFERROR(IF(ISNUMBER(SEARCH("TC",$D$10)),V101*(V105/(1-V105))+V107+V108,IF(V102&gt;0,V102*V105+V107+V108,V101*V105+V107+V108)),0),0)</f>
        <v>0</v>
      </c>
      <c r="W109" s="379"/>
      <c r="X109" s="379">
        <f ca="1">ROUND(IFERROR(IF(ISNUMBER(SEARCH("TC",$D$10)),X101*(X105/(1-X105))+X107+X108,IF(X102&gt;0,X102*X105+X107+X108,X101*X105+X107+X108)),0),0)</f>
        <v>0</v>
      </c>
      <c r="Y109" s="379"/>
      <c r="Z109" s="160">
        <f ca="1">SUM(F109:Y109)</f>
        <v>0</v>
      </c>
      <c r="AA109" s="330"/>
    </row>
    <row r="110" spans="1:27" ht="15" customHeight="1" thickBot="1" x14ac:dyDescent="0.3">
      <c r="A110" s="390"/>
      <c r="B110" s="161"/>
      <c r="C110" s="183"/>
      <c r="D110" s="184"/>
      <c r="E110" s="184"/>
      <c r="F110" s="117"/>
      <c r="G110" s="117"/>
      <c r="H110" s="117"/>
      <c r="I110" s="117"/>
      <c r="J110" s="117"/>
      <c r="K110" s="117"/>
      <c r="L110" s="117"/>
      <c r="M110" s="117"/>
      <c r="N110" s="117"/>
      <c r="O110" s="117"/>
      <c r="P110" s="117"/>
      <c r="Q110" s="117"/>
      <c r="R110" s="117"/>
      <c r="S110" s="117"/>
      <c r="T110" s="117"/>
      <c r="U110" s="117"/>
      <c r="V110" s="117"/>
      <c r="W110" s="117"/>
      <c r="X110" s="117"/>
      <c r="Y110" s="117"/>
      <c r="Z110" s="118"/>
      <c r="AA110" s="330"/>
    </row>
    <row r="111" spans="1:27" ht="15" customHeight="1" thickBot="1" x14ac:dyDescent="0.3">
      <c r="A111" s="391"/>
      <c r="B111" s="393" t="s">
        <v>137</v>
      </c>
      <c r="C111" s="394"/>
      <c r="D111" s="394"/>
      <c r="E111" s="394"/>
      <c r="F111" s="379">
        <f ca="1">IFERROR(F99+F109,0)</f>
        <v>0</v>
      </c>
      <c r="G111" s="379"/>
      <c r="H111" s="379">
        <f t="shared" ref="H111" ca="1" si="18">IFERROR(H99+H109,0)</f>
        <v>0</v>
      </c>
      <c r="I111" s="379"/>
      <c r="J111" s="379">
        <f t="shared" ref="J111" ca="1" si="19">IFERROR(J99+J109,0)</f>
        <v>0</v>
      </c>
      <c r="K111" s="379"/>
      <c r="L111" s="379">
        <f t="shared" ref="L111" ca="1" si="20">IFERROR(L99+L109,0)</f>
        <v>0</v>
      </c>
      <c r="M111" s="379"/>
      <c r="N111" s="379">
        <f t="shared" ref="N111" ca="1" si="21">IFERROR(N99+N109,0)</f>
        <v>0</v>
      </c>
      <c r="O111" s="379"/>
      <c r="P111" s="379">
        <f t="shared" ref="P111" ca="1" si="22">IFERROR(P99+P109,0)</f>
        <v>0</v>
      </c>
      <c r="Q111" s="379"/>
      <c r="R111" s="379">
        <f t="shared" ref="R111" ca="1" si="23">IFERROR(R99+R109,0)</f>
        <v>0</v>
      </c>
      <c r="S111" s="379"/>
      <c r="T111" s="379">
        <f t="shared" ref="T111" ca="1" si="24">IFERROR(T99+T109,0)</f>
        <v>0</v>
      </c>
      <c r="U111" s="379"/>
      <c r="V111" s="379">
        <f t="shared" ref="V111" ca="1" si="25">IFERROR(V99+V109,0)</f>
        <v>0</v>
      </c>
      <c r="W111" s="379"/>
      <c r="X111" s="379">
        <f t="shared" ref="X111" ca="1" si="26">IFERROR(X99+X109,0)</f>
        <v>0</v>
      </c>
      <c r="Y111" s="379"/>
      <c r="Z111" s="160">
        <f ca="1">SUM(F111:Y111)</f>
        <v>0</v>
      </c>
      <c r="AA111" s="330"/>
    </row>
    <row r="112" spans="1:27" ht="15" customHeight="1" thickBot="1" x14ac:dyDescent="0.3">
      <c r="A112" s="390"/>
      <c r="B112" s="161"/>
      <c r="C112" s="162"/>
      <c r="D112" s="162"/>
      <c r="E112" s="162"/>
      <c r="F112" s="397"/>
      <c r="G112" s="397"/>
      <c r="H112" s="397"/>
      <c r="I112" s="397"/>
      <c r="J112" s="397"/>
      <c r="K112" s="397"/>
      <c r="L112" s="397"/>
      <c r="M112" s="397"/>
      <c r="N112" s="397"/>
      <c r="O112" s="397"/>
      <c r="P112" s="397"/>
      <c r="Q112" s="397"/>
      <c r="R112" s="397"/>
      <c r="S112" s="397"/>
      <c r="T112" s="397"/>
      <c r="U112" s="397"/>
      <c r="V112" s="397"/>
      <c r="W112" s="397"/>
      <c r="X112" s="397"/>
      <c r="Y112" s="397"/>
      <c r="Z112" s="119"/>
      <c r="AA112" s="334"/>
    </row>
    <row r="113" spans="1:26" ht="15" customHeight="1" thickBot="1" x14ac:dyDescent="0.3">
      <c r="A113" s="391"/>
      <c r="B113" s="393" t="s">
        <v>136</v>
      </c>
      <c r="C113" s="394"/>
      <c r="D113" s="394"/>
      <c r="E113" s="394"/>
      <c r="F113" s="398"/>
      <c r="G113" s="398"/>
      <c r="H113" s="398"/>
      <c r="I113" s="398"/>
      <c r="J113" s="398"/>
      <c r="K113" s="398"/>
      <c r="L113" s="398"/>
      <c r="M113" s="398"/>
      <c r="N113" s="398"/>
      <c r="O113" s="398"/>
      <c r="P113" s="398"/>
      <c r="Q113" s="398"/>
      <c r="R113" s="398"/>
      <c r="S113" s="398"/>
      <c r="T113" s="398"/>
      <c r="U113" s="398"/>
      <c r="V113" s="398"/>
      <c r="W113" s="398"/>
      <c r="X113" s="398"/>
      <c r="Y113" s="398"/>
      <c r="Z113" s="163">
        <f>SUM(F113:Y113)</f>
        <v>0</v>
      </c>
    </row>
    <row r="114" spans="1:26" ht="15" customHeight="1" thickBot="1" x14ac:dyDescent="0.3">
      <c r="A114" s="392"/>
      <c r="B114" s="393" t="s">
        <v>281</v>
      </c>
      <c r="C114" s="394"/>
      <c r="D114" s="394"/>
      <c r="E114" s="394"/>
      <c r="F114" s="379">
        <f ca="1">F111+F113+C112+D112+E112</f>
        <v>0</v>
      </c>
      <c r="G114" s="379"/>
      <c r="H114" s="379">
        <f ca="1">H111+H113</f>
        <v>0</v>
      </c>
      <c r="I114" s="379"/>
      <c r="J114" s="379">
        <f ca="1">J111+J113</f>
        <v>0</v>
      </c>
      <c r="K114" s="379"/>
      <c r="L114" s="379">
        <f ca="1">L111+L113</f>
        <v>0</v>
      </c>
      <c r="M114" s="379"/>
      <c r="N114" s="379">
        <f ca="1">N111+N113</f>
        <v>0</v>
      </c>
      <c r="O114" s="379"/>
      <c r="P114" s="379">
        <f ca="1">P111+P113</f>
        <v>0</v>
      </c>
      <c r="Q114" s="379"/>
      <c r="R114" s="379">
        <f ca="1">R111+R113</f>
        <v>0</v>
      </c>
      <c r="S114" s="379"/>
      <c r="T114" s="379">
        <f ca="1">T111+T113</f>
        <v>0</v>
      </c>
      <c r="U114" s="379"/>
      <c r="V114" s="379">
        <f ca="1">V111+V113</f>
        <v>0</v>
      </c>
      <c r="W114" s="379"/>
      <c r="X114" s="379">
        <f ca="1">X111+X113</f>
        <v>0</v>
      </c>
      <c r="Y114" s="379"/>
      <c r="Z114" s="160">
        <f ca="1">SUM(F114:Y114)</f>
        <v>0</v>
      </c>
    </row>
    <row r="115" spans="1:26" ht="15" customHeight="1" thickBot="1" x14ac:dyDescent="0.3"/>
    <row r="116" spans="1:26" ht="15" customHeight="1" x14ac:dyDescent="0.25">
      <c r="A116" s="173" t="s">
        <v>282</v>
      </c>
      <c r="B116" s="170"/>
      <c r="C116" s="170"/>
      <c r="D116" s="170"/>
      <c r="E116" s="170"/>
      <c r="F116" s="171"/>
      <c r="G116" s="171"/>
      <c r="H116" s="171"/>
      <c r="I116" s="171"/>
      <c r="J116" s="171"/>
      <c r="K116" s="171"/>
      <c r="L116" s="171"/>
      <c r="M116" s="171"/>
      <c r="N116" s="171"/>
      <c r="O116" s="171"/>
      <c r="P116" s="171"/>
      <c r="Q116" s="171"/>
      <c r="R116" s="171"/>
      <c r="S116" s="171"/>
      <c r="T116" s="171"/>
      <c r="U116" s="171"/>
      <c r="V116" s="171"/>
      <c r="W116" s="171"/>
      <c r="X116" s="171"/>
      <c r="Y116" s="171"/>
      <c r="Z116" s="172"/>
    </row>
    <row r="117" spans="1:26" ht="15" customHeight="1" x14ac:dyDescent="0.25">
      <c r="A117" s="442"/>
      <c r="B117" s="443"/>
      <c r="C117" s="443"/>
      <c r="D117" s="443"/>
      <c r="E117" s="443"/>
      <c r="F117" s="443"/>
      <c r="G117" s="443"/>
      <c r="H117" s="443"/>
      <c r="I117" s="443"/>
      <c r="J117" s="443"/>
      <c r="K117" s="443"/>
      <c r="L117" s="443"/>
      <c r="M117" s="443"/>
      <c r="N117" s="443"/>
      <c r="O117" s="443"/>
      <c r="P117" s="443"/>
      <c r="Q117" s="443"/>
      <c r="R117" s="443"/>
      <c r="S117" s="443"/>
      <c r="T117" s="443"/>
      <c r="U117" s="443"/>
      <c r="V117" s="443"/>
      <c r="W117" s="443"/>
      <c r="X117" s="443"/>
      <c r="Y117" s="443"/>
      <c r="Z117" s="444"/>
    </row>
    <row r="118" spans="1:26" ht="15" customHeight="1" x14ac:dyDescent="0.25">
      <c r="A118" s="442"/>
      <c r="B118" s="443"/>
      <c r="C118" s="443"/>
      <c r="D118" s="443"/>
      <c r="E118" s="443"/>
      <c r="F118" s="443"/>
      <c r="G118" s="443"/>
      <c r="H118" s="443"/>
      <c r="I118" s="443"/>
      <c r="J118" s="443"/>
      <c r="K118" s="443"/>
      <c r="L118" s="443"/>
      <c r="M118" s="443"/>
      <c r="N118" s="443"/>
      <c r="O118" s="443"/>
      <c r="P118" s="443"/>
      <c r="Q118" s="443"/>
      <c r="R118" s="443"/>
      <c r="S118" s="443"/>
      <c r="T118" s="443"/>
      <c r="U118" s="443"/>
      <c r="V118" s="443"/>
      <c r="W118" s="443"/>
      <c r="X118" s="443"/>
      <c r="Y118" s="443"/>
      <c r="Z118" s="444"/>
    </row>
    <row r="119" spans="1:26" ht="15" customHeight="1" x14ac:dyDescent="0.25">
      <c r="A119" s="442"/>
      <c r="B119" s="443"/>
      <c r="C119" s="443"/>
      <c r="D119" s="443"/>
      <c r="E119" s="443"/>
      <c r="F119" s="443"/>
      <c r="G119" s="443"/>
      <c r="H119" s="443"/>
      <c r="I119" s="443"/>
      <c r="J119" s="443"/>
      <c r="K119" s="443"/>
      <c r="L119" s="443"/>
      <c r="M119" s="443"/>
      <c r="N119" s="443"/>
      <c r="O119" s="443"/>
      <c r="P119" s="443"/>
      <c r="Q119" s="443"/>
      <c r="R119" s="443"/>
      <c r="S119" s="443"/>
      <c r="T119" s="443"/>
      <c r="U119" s="443"/>
      <c r="V119" s="443"/>
      <c r="W119" s="443"/>
      <c r="X119" s="443"/>
      <c r="Y119" s="443"/>
      <c r="Z119" s="444"/>
    </row>
    <row r="120" spans="1:26" ht="15" customHeight="1" thickBot="1" x14ac:dyDescent="0.3">
      <c r="A120" s="445"/>
      <c r="B120" s="446"/>
      <c r="C120" s="446"/>
      <c r="D120" s="446"/>
      <c r="E120" s="446"/>
      <c r="F120" s="446"/>
      <c r="G120" s="446"/>
      <c r="H120" s="446"/>
      <c r="I120" s="446"/>
      <c r="J120" s="446"/>
      <c r="K120" s="446"/>
      <c r="L120" s="446"/>
      <c r="M120" s="446"/>
      <c r="N120" s="446"/>
      <c r="O120" s="446"/>
      <c r="P120" s="446"/>
      <c r="Q120" s="446"/>
      <c r="R120" s="446"/>
      <c r="S120" s="446"/>
      <c r="T120" s="446"/>
      <c r="U120" s="446"/>
      <c r="V120" s="446"/>
      <c r="W120" s="446"/>
      <c r="X120" s="446"/>
      <c r="Y120" s="446"/>
      <c r="Z120" s="447"/>
    </row>
    <row r="121" spans="1:26" ht="15" customHeight="1" x14ac:dyDescent="0.25">
      <c r="A121" s="305"/>
      <c r="B121" s="305"/>
      <c r="C121" s="305"/>
      <c r="D121" s="305"/>
      <c r="E121" s="305"/>
      <c r="F121" s="305"/>
      <c r="G121" s="305"/>
      <c r="H121" s="305"/>
      <c r="I121" s="305"/>
      <c r="J121" s="305"/>
      <c r="K121" s="305"/>
      <c r="L121" s="305"/>
      <c r="M121" s="305"/>
      <c r="N121" s="305"/>
      <c r="O121" s="305"/>
      <c r="P121" s="305"/>
      <c r="Q121" s="305"/>
      <c r="R121" s="305"/>
      <c r="S121" s="305"/>
      <c r="T121" s="305"/>
      <c r="U121" s="305"/>
      <c r="V121" s="305"/>
      <c r="W121" s="305"/>
      <c r="X121" s="305"/>
      <c r="Y121" s="305"/>
      <c r="Z121" s="305"/>
    </row>
    <row r="122" spans="1:26" ht="15" customHeight="1" x14ac:dyDescent="0.25">
      <c r="A122" s="441" t="s">
        <v>448</v>
      </c>
      <c r="B122" s="441"/>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row>
    <row r="123" spans="1:26" ht="15" customHeight="1" thickBot="1" x14ac:dyDescent="0.3"/>
    <row r="124" spans="1:26" ht="15" customHeight="1" x14ac:dyDescent="0.25">
      <c r="A124" s="431" t="s">
        <v>293</v>
      </c>
      <c r="C124" s="433" t="s">
        <v>296</v>
      </c>
      <c r="D124" s="434"/>
    </row>
    <row r="125" spans="1:26" ht="15" customHeight="1" x14ac:dyDescent="0.25">
      <c r="A125" s="432"/>
      <c r="C125" s="435"/>
      <c r="D125" s="436"/>
    </row>
    <row r="126" spans="1:26" ht="15" customHeight="1" x14ac:dyDescent="0.25">
      <c r="A126" s="214"/>
      <c r="C126" s="439"/>
      <c r="D126" s="440"/>
    </row>
    <row r="127" spans="1:26" ht="15" customHeight="1" x14ac:dyDescent="0.25">
      <c r="A127" s="214"/>
      <c r="C127" s="439"/>
      <c r="D127" s="440"/>
    </row>
    <row r="128" spans="1:26" ht="15" customHeight="1" x14ac:dyDescent="0.25">
      <c r="A128" s="214"/>
      <c r="C128" s="439"/>
      <c r="D128" s="440"/>
    </row>
    <row r="129" spans="1:4" ht="15" customHeight="1" x14ac:dyDescent="0.25">
      <c r="A129" s="214"/>
      <c r="C129" s="439"/>
      <c r="D129" s="440"/>
    </row>
    <row r="130" spans="1:4" ht="15" customHeight="1" x14ac:dyDescent="0.25">
      <c r="A130" s="214"/>
      <c r="C130" s="439"/>
      <c r="D130" s="440"/>
    </row>
    <row r="131" spans="1:4" ht="15" customHeight="1" thickBot="1" x14ac:dyDescent="0.3">
      <c r="A131" s="215"/>
      <c r="C131" s="437"/>
      <c r="D131" s="438"/>
    </row>
  </sheetData>
  <sheetProtection algorithmName="SHA-512" hashValue="sy9Unt4W93AxjCQqmyJJPgLXL0Yz3jQ8i7mHDSKfV5+NGHNqGaNrL0CqnmDuOJMsPm8SrU0udXtaNndd5OeQEQ==" saltValue="Oaj0SMnV4gToKQt2iZ2vjA==" spinCount="100000" sheet="1" objects="1" scenarios="1" selectLockedCells="1"/>
  <mergeCells count="802">
    <mergeCell ref="A86:E86"/>
    <mergeCell ref="X90:Y90"/>
    <mergeCell ref="B108:E108"/>
    <mergeCell ref="F108:G108"/>
    <mergeCell ref="H108:I108"/>
    <mergeCell ref="J108:K108"/>
    <mergeCell ref="L108:M108"/>
    <mergeCell ref="N108:O108"/>
    <mergeCell ref="P108:Q108"/>
    <mergeCell ref="R108:S108"/>
    <mergeCell ref="T108:U108"/>
    <mergeCell ref="V108:W108"/>
    <mergeCell ref="X108:Y108"/>
    <mergeCell ref="F90:G90"/>
    <mergeCell ref="H90:I90"/>
    <mergeCell ref="A91:E91"/>
    <mergeCell ref="A92:E92"/>
    <mergeCell ref="A87:C87"/>
    <mergeCell ref="A88:C88"/>
    <mergeCell ref="A89:C89"/>
    <mergeCell ref="A90:C90"/>
    <mergeCell ref="X95:Y95"/>
    <mergeCell ref="R95:S95"/>
    <mergeCell ref="X91:Y91"/>
    <mergeCell ref="B79:E79"/>
    <mergeCell ref="F79:G79"/>
    <mergeCell ref="H79:I79"/>
    <mergeCell ref="J79:K79"/>
    <mergeCell ref="L79:M79"/>
    <mergeCell ref="N79:O79"/>
    <mergeCell ref="J84:K84"/>
    <mergeCell ref="L84:M84"/>
    <mergeCell ref="B82:D82"/>
    <mergeCell ref="B83:D83"/>
    <mergeCell ref="F84:G84"/>
    <mergeCell ref="N84:O84"/>
    <mergeCell ref="H84:I84"/>
    <mergeCell ref="J85:K85"/>
    <mergeCell ref="F83:G83"/>
    <mergeCell ref="H83:I83"/>
    <mergeCell ref="J83:K83"/>
    <mergeCell ref="L83:M83"/>
    <mergeCell ref="L85:M85"/>
    <mergeCell ref="P75:Q75"/>
    <mergeCell ref="N72:O72"/>
    <mergeCell ref="N83:O83"/>
    <mergeCell ref="H74:I74"/>
    <mergeCell ref="L72:M72"/>
    <mergeCell ref="J74:K74"/>
    <mergeCell ref="J75:K75"/>
    <mergeCell ref="P74:Q74"/>
    <mergeCell ref="H78:I78"/>
    <mergeCell ref="J78:K78"/>
    <mergeCell ref="L78:M78"/>
    <mergeCell ref="N78:O78"/>
    <mergeCell ref="F75:G75"/>
    <mergeCell ref="P79:Q79"/>
    <mergeCell ref="P84:Q84"/>
    <mergeCell ref="H75:I75"/>
    <mergeCell ref="L74:M74"/>
    <mergeCell ref="N74:O74"/>
    <mergeCell ref="A117:Z120"/>
    <mergeCell ref="F88:G88"/>
    <mergeCell ref="H88:I88"/>
    <mergeCell ref="J88:K88"/>
    <mergeCell ref="H91:I91"/>
    <mergeCell ref="J91:K91"/>
    <mergeCell ref="P98:Q98"/>
    <mergeCell ref="F97:G97"/>
    <mergeCell ref="H97:I97"/>
    <mergeCell ref="J97:K97"/>
    <mergeCell ref="L97:M97"/>
    <mergeCell ref="L91:M91"/>
    <mergeCell ref="L88:M88"/>
    <mergeCell ref="N88:O88"/>
    <mergeCell ref="L90:M90"/>
    <mergeCell ref="N90:O90"/>
    <mergeCell ref="P90:Q90"/>
    <mergeCell ref="L98:M98"/>
    <mergeCell ref="X97:Y97"/>
    <mergeCell ref="N98:O98"/>
    <mergeCell ref="H92:I92"/>
    <mergeCell ref="N91:O91"/>
    <mergeCell ref="V88:W88"/>
    <mergeCell ref="X88:Y88"/>
    <mergeCell ref="A124:A125"/>
    <mergeCell ref="C124:D125"/>
    <mergeCell ref="C131:D131"/>
    <mergeCell ref="C126:D126"/>
    <mergeCell ref="C127:D127"/>
    <mergeCell ref="C128:D128"/>
    <mergeCell ref="C129:D129"/>
    <mergeCell ref="C130:D130"/>
    <mergeCell ref="A122:B122"/>
    <mergeCell ref="X93:Y93"/>
    <mergeCell ref="T90:U90"/>
    <mergeCell ref="X57:Y57"/>
    <mergeCell ref="V55:W55"/>
    <mergeCell ref="X55:Y55"/>
    <mergeCell ref="V71:W71"/>
    <mergeCell ref="T71:U71"/>
    <mergeCell ref="R71:S71"/>
    <mergeCell ref="X73:Y73"/>
    <mergeCell ref="V72:W72"/>
    <mergeCell ref="X72:Y72"/>
    <mergeCell ref="X71:Y71"/>
    <mergeCell ref="R72:S72"/>
    <mergeCell ref="T69:U69"/>
    <mergeCell ref="R73:S73"/>
    <mergeCell ref="X70:Y70"/>
    <mergeCell ref="V73:W73"/>
    <mergeCell ref="R63:S63"/>
    <mergeCell ref="T63:U63"/>
    <mergeCell ref="X79:Y79"/>
    <mergeCell ref="R60:S60"/>
    <mergeCell ref="R57:S57"/>
    <mergeCell ref="X65:Y65"/>
    <mergeCell ref="X66:Y66"/>
    <mergeCell ref="X69:Y69"/>
    <mergeCell ref="V69:W69"/>
    <mergeCell ref="V65:W65"/>
    <mergeCell ref="T64:U64"/>
    <mergeCell ref="T60:U60"/>
    <mergeCell ref="V60:W60"/>
    <mergeCell ref="V61:W61"/>
    <mergeCell ref="X61:Y61"/>
    <mergeCell ref="X60:Y60"/>
    <mergeCell ref="X64:Y64"/>
    <mergeCell ref="X63:Y63"/>
    <mergeCell ref="V63:W63"/>
    <mergeCell ref="V64:W64"/>
    <mergeCell ref="T65:U65"/>
    <mergeCell ref="V52:W52"/>
    <mergeCell ref="X52:Y52"/>
    <mergeCell ref="R62:S62"/>
    <mergeCell ref="T62:U62"/>
    <mergeCell ref="V62:W62"/>
    <mergeCell ref="X62:Y62"/>
    <mergeCell ref="R56:S56"/>
    <mergeCell ref="V51:W51"/>
    <mergeCell ref="X51:Y51"/>
    <mergeCell ref="T57:U57"/>
    <mergeCell ref="V57:W57"/>
    <mergeCell ref="V56:W56"/>
    <mergeCell ref="X56:Y56"/>
    <mergeCell ref="T51:U51"/>
    <mergeCell ref="V85:W85"/>
    <mergeCell ref="R66:S66"/>
    <mergeCell ref="T66:U66"/>
    <mergeCell ref="V66:W66"/>
    <mergeCell ref="R74:S74"/>
    <mergeCell ref="V70:W70"/>
    <mergeCell ref="R84:S84"/>
    <mergeCell ref="T84:U84"/>
    <mergeCell ref="T74:U74"/>
    <mergeCell ref="T73:U73"/>
    <mergeCell ref="R69:S69"/>
    <mergeCell ref="X85:Y85"/>
    <mergeCell ref="X83:Y83"/>
    <mergeCell ref="X84:Y84"/>
    <mergeCell ref="R55:S55"/>
    <mergeCell ref="X111:Y111"/>
    <mergeCell ref="X109:Y109"/>
    <mergeCell ref="P107:Q107"/>
    <mergeCell ref="R107:S107"/>
    <mergeCell ref="T107:U107"/>
    <mergeCell ref="V107:W107"/>
    <mergeCell ref="X107:Y107"/>
    <mergeCell ref="X105:Y105"/>
    <mergeCell ref="P102:Q102"/>
    <mergeCell ref="R102:S102"/>
    <mergeCell ref="T102:U102"/>
    <mergeCell ref="V102:W102"/>
    <mergeCell ref="R111:S111"/>
    <mergeCell ref="T111:U111"/>
    <mergeCell ref="V111:W111"/>
    <mergeCell ref="P80:Q80"/>
    <mergeCell ref="R80:S80"/>
    <mergeCell ref="X102:Y102"/>
    <mergeCell ref="X103:Y103"/>
    <mergeCell ref="V109:W109"/>
    <mergeCell ref="X98:Y98"/>
    <mergeCell ref="F111:G111"/>
    <mergeCell ref="H111:I111"/>
    <mergeCell ref="J111:K111"/>
    <mergeCell ref="L111:M111"/>
    <mergeCell ref="R109:S109"/>
    <mergeCell ref="T109:U109"/>
    <mergeCell ref="N111:O111"/>
    <mergeCell ref="P109:Q109"/>
    <mergeCell ref="F109:G109"/>
    <mergeCell ref="H109:I109"/>
    <mergeCell ref="J109:K109"/>
    <mergeCell ref="L109:M109"/>
    <mergeCell ref="N109:O109"/>
    <mergeCell ref="T105:U105"/>
    <mergeCell ref="V105:W105"/>
    <mergeCell ref="F105:G105"/>
    <mergeCell ref="H105:I105"/>
    <mergeCell ref="J105:K105"/>
    <mergeCell ref="L105:M105"/>
    <mergeCell ref="N105:O105"/>
    <mergeCell ref="H101:I101"/>
    <mergeCell ref="J101:K101"/>
    <mergeCell ref="L101:M101"/>
    <mergeCell ref="V103:W103"/>
    <mergeCell ref="R101:S101"/>
    <mergeCell ref="R105:S105"/>
    <mergeCell ref="J90:K90"/>
    <mergeCell ref="J92:K92"/>
    <mergeCell ref="L92:M92"/>
    <mergeCell ref="N92:O92"/>
    <mergeCell ref="P92:Q92"/>
    <mergeCell ref="J95:K95"/>
    <mergeCell ref="L95:M95"/>
    <mergeCell ref="N95:O95"/>
    <mergeCell ref="R92:S92"/>
    <mergeCell ref="R97:S97"/>
    <mergeCell ref="N97:O97"/>
    <mergeCell ref="P99:Q99"/>
    <mergeCell ref="R99:S99"/>
    <mergeCell ref="R98:S98"/>
    <mergeCell ref="P95:Q95"/>
    <mergeCell ref="P91:Q91"/>
    <mergeCell ref="R91:S91"/>
    <mergeCell ref="V90:W90"/>
    <mergeCell ref="V95:W95"/>
    <mergeCell ref="R90:S90"/>
    <mergeCell ref="N101:O101"/>
    <mergeCell ref="X75:Y75"/>
    <mergeCell ref="V74:W74"/>
    <mergeCell ref="X74:Y74"/>
    <mergeCell ref="P66:Q66"/>
    <mergeCell ref="R65:S65"/>
    <mergeCell ref="T83:U83"/>
    <mergeCell ref="V83:W83"/>
    <mergeCell ref="T101:U101"/>
    <mergeCell ref="V101:W101"/>
    <mergeCell ref="T97:U97"/>
    <mergeCell ref="V97:W97"/>
    <mergeCell ref="T92:U92"/>
    <mergeCell ref="V92:W92"/>
    <mergeCell ref="T72:U72"/>
    <mergeCell ref="V75:W75"/>
    <mergeCell ref="P65:Q65"/>
    <mergeCell ref="P71:Q71"/>
    <mergeCell ref="P72:Q72"/>
    <mergeCell ref="P73:Q73"/>
    <mergeCell ref="T80:U80"/>
    <mergeCell ref="X101:Y101"/>
    <mergeCell ref="T99:U99"/>
    <mergeCell ref="T98:U98"/>
    <mergeCell ref="X99:Y99"/>
    <mergeCell ref="X80:Y80"/>
    <mergeCell ref="F80:G80"/>
    <mergeCell ref="H80:I80"/>
    <mergeCell ref="J80:K80"/>
    <mergeCell ref="L80:M80"/>
    <mergeCell ref="N80:O80"/>
    <mergeCell ref="R83:S83"/>
    <mergeCell ref="P78:Q78"/>
    <mergeCell ref="R78:S78"/>
    <mergeCell ref="T78:U78"/>
    <mergeCell ref="V78:W78"/>
    <mergeCell ref="X78:Y78"/>
    <mergeCell ref="F78:G78"/>
    <mergeCell ref="R79:S79"/>
    <mergeCell ref="T79:U79"/>
    <mergeCell ref="V79:W79"/>
    <mergeCell ref="F74:G74"/>
    <mergeCell ref="V99:W99"/>
    <mergeCell ref="V80:W80"/>
    <mergeCell ref="F66:G66"/>
    <mergeCell ref="P97:Q97"/>
    <mergeCell ref="F91:G91"/>
    <mergeCell ref="F92:G92"/>
    <mergeCell ref="V98:W98"/>
    <mergeCell ref="P85:Q85"/>
    <mergeCell ref="R85:S85"/>
    <mergeCell ref="T85:U85"/>
    <mergeCell ref="T88:U88"/>
    <mergeCell ref="T95:U95"/>
    <mergeCell ref="T91:U91"/>
    <mergeCell ref="V91:W91"/>
    <mergeCell ref="T93:U93"/>
    <mergeCell ref="V93:W93"/>
    <mergeCell ref="R88:S88"/>
    <mergeCell ref="P88:Q88"/>
    <mergeCell ref="N75:O75"/>
    <mergeCell ref="V84:W84"/>
    <mergeCell ref="R75:S75"/>
    <mergeCell ref="T75:U75"/>
    <mergeCell ref="L73:M73"/>
    <mergeCell ref="L70:M70"/>
    <mergeCell ref="N70:O70"/>
    <mergeCell ref="N69:O69"/>
    <mergeCell ref="P70:Q70"/>
    <mergeCell ref="R70:S70"/>
    <mergeCell ref="T70:U70"/>
    <mergeCell ref="N71:O71"/>
    <mergeCell ref="L75:M75"/>
    <mergeCell ref="N73:O73"/>
    <mergeCell ref="L71:M71"/>
    <mergeCell ref="P63:Q63"/>
    <mergeCell ref="H70:I70"/>
    <mergeCell ref="F55:G55"/>
    <mergeCell ref="F64:G64"/>
    <mergeCell ref="H64:I64"/>
    <mergeCell ref="L63:M63"/>
    <mergeCell ref="N62:O62"/>
    <mergeCell ref="J64:K64"/>
    <mergeCell ref="L64:M64"/>
    <mergeCell ref="F56:G56"/>
    <mergeCell ref="H56:I56"/>
    <mergeCell ref="L56:M56"/>
    <mergeCell ref="N66:O66"/>
    <mergeCell ref="L69:M69"/>
    <mergeCell ref="N64:O64"/>
    <mergeCell ref="L61:M61"/>
    <mergeCell ref="F60:G60"/>
    <mergeCell ref="H60:I60"/>
    <mergeCell ref="H69:I69"/>
    <mergeCell ref="J69:K69"/>
    <mergeCell ref="F62:G62"/>
    <mergeCell ref="L66:M66"/>
    <mergeCell ref="J66:K66"/>
    <mergeCell ref="H62:I62"/>
    <mergeCell ref="R64:S64"/>
    <mergeCell ref="N63:O63"/>
    <mergeCell ref="N61:O61"/>
    <mergeCell ref="F73:G73"/>
    <mergeCell ref="H72:I72"/>
    <mergeCell ref="T22:U22"/>
    <mergeCell ref="T30:U30"/>
    <mergeCell ref="T49:U49"/>
    <mergeCell ref="J39:K39"/>
    <mergeCell ref="P64:Q64"/>
    <mergeCell ref="H65:I65"/>
    <mergeCell ref="J65:K65"/>
    <mergeCell ref="L65:M65"/>
    <mergeCell ref="N65:O65"/>
    <mergeCell ref="P61:Q61"/>
    <mergeCell ref="P69:Q69"/>
    <mergeCell ref="H30:I30"/>
    <mergeCell ref="H24:I24"/>
    <mergeCell ref="L22:M22"/>
    <mergeCell ref="N22:O22"/>
    <mergeCell ref="L30:M30"/>
    <mergeCell ref="J51:K51"/>
    <mergeCell ref="F52:G52"/>
    <mergeCell ref="H66:I66"/>
    <mergeCell ref="Z16:Z19"/>
    <mergeCell ref="R18:S18"/>
    <mergeCell ref="T18:U18"/>
    <mergeCell ref="R17:S17"/>
    <mergeCell ref="R32:S32"/>
    <mergeCell ref="X17:Y17"/>
    <mergeCell ref="X18:Y18"/>
    <mergeCell ref="V18:W18"/>
    <mergeCell ref="P19:Q19"/>
    <mergeCell ref="R19:S19"/>
    <mergeCell ref="X19:Y19"/>
    <mergeCell ref="T17:U17"/>
    <mergeCell ref="T19:U19"/>
    <mergeCell ref="V19:W19"/>
    <mergeCell ref="P22:Q22"/>
    <mergeCell ref="R22:S22"/>
    <mergeCell ref="V22:W22"/>
    <mergeCell ref="R26:S26"/>
    <mergeCell ref="P30:Q30"/>
    <mergeCell ref="Z20:Z21"/>
    <mergeCell ref="T24:U24"/>
    <mergeCell ref="P29:Q29"/>
    <mergeCell ref="R29:S29"/>
    <mergeCell ref="X22:Y22"/>
    <mergeCell ref="B2:E2"/>
    <mergeCell ref="B3:E3"/>
    <mergeCell ref="B21:C21"/>
    <mergeCell ref="F19:G19"/>
    <mergeCell ref="B4:E4"/>
    <mergeCell ref="B12:D12"/>
    <mergeCell ref="B13:D13"/>
    <mergeCell ref="A16:D18"/>
    <mergeCell ref="F16:Y16"/>
    <mergeCell ref="V17:W17"/>
    <mergeCell ref="J17:K17"/>
    <mergeCell ref="L17:M17"/>
    <mergeCell ref="N17:O17"/>
    <mergeCell ref="A20:B20"/>
    <mergeCell ref="C20:E20"/>
    <mergeCell ref="F18:G18"/>
    <mergeCell ref="H18:I18"/>
    <mergeCell ref="J18:K18"/>
    <mergeCell ref="L18:M18"/>
    <mergeCell ref="N18:O18"/>
    <mergeCell ref="P18:Q18"/>
    <mergeCell ref="N19:O19"/>
    <mergeCell ref="H19:I19"/>
    <mergeCell ref="J19:K19"/>
    <mergeCell ref="P17:Q17"/>
    <mergeCell ref="D30:E30"/>
    <mergeCell ref="B36:E36"/>
    <mergeCell ref="V24:W24"/>
    <mergeCell ref="J31:K31"/>
    <mergeCell ref="L31:M31"/>
    <mergeCell ref="H31:I31"/>
    <mergeCell ref="T26:U26"/>
    <mergeCell ref="P26:Q26"/>
    <mergeCell ref="R34:S34"/>
    <mergeCell ref="V30:W30"/>
    <mergeCell ref="R33:S33"/>
    <mergeCell ref="F32:G32"/>
    <mergeCell ref="D32:E32"/>
    <mergeCell ref="A33:E33"/>
    <mergeCell ref="F24:G24"/>
    <mergeCell ref="P31:Q31"/>
    <mergeCell ref="N31:O31"/>
    <mergeCell ref="L24:M24"/>
    <mergeCell ref="J26:K26"/>
    <mergeCell ref="J24:K24"/>
    <mergeCell ref="A34:E34"/>
    <mergeCell ref="J32:K32"/>
    <mergeCell ref="F17:G17"/>
    <mergeCell ref="H17:I17"/>
    <mergeCell ref="N26:O26"/>
    <mergeCell ref="B22:C22"/>
    <mergeCell ref="A27:E27"/>
    <mergeCell ref="A57:E57"/>
    <mergeCell ref="B54:E54"/>
    <mergeCell ref="A39:E39"/>
    <mergeCell ref="L38:M38"/>
    <mergeCell ref="L37:M37"/>
    <mergeCell ref="J29:K29"/>
    <mergeCell ref="F26:G26"/>
    <mergeCell ref="B31:C31"/>
    <mergeCell ref="F31:G31"/>
    <mergeCell ref="F30:G30"/>
    <mergeCell ref="B37:E37"/>
    <mergeCell ref="B29:C29"/>
    <mergeCell ref="B28:C28"/>
    <mergeCell ref="L29:M29"/>
    <mergeCell ref="L51:M51"/>
    <mergeCell ref="H52:I52"/>
    <mergeCell ref="L19:M19"/>
    <mergeCell ref="A26:E26"/>
    <mergeCell ref="F22:G22"/>
    <mergeCell ref="J30:K30"/>
    <mergeCell ref="A52:E52"/>
    <mergeCell ref="D23:E23"/>
    <mergeCell ref="B24:C24"/>
    <mergeCell ref="H22:I22"/>
    <mergeCell ref="J22:K22"/>
    <mergeCell ref="N51:O51"/>
    <mergeCell ref="D25:E25"/>
    <mergeCell ref="A50:E50"/>
    <mergeCell ref="A40:E40"/>
    <mergeCell ref="A35:E35"/>
    <mergeCell ref="N50:O50"/>
    <mergeCell ref="L50:M50"/>
    <mergeCell ref="N39:O39"/>
    <mergeCell ref="N47:O47"/>
    <mergeCell ref="F47:G47"/>
    <mergeCell ref="J42:K42"/>
    <mergeCell ref="H37:I37"/>
    <mergeCell ref="H42:I42"/>
    <mergeCell ref="F33:G33"/>
    <mergeCell ref="B56:E56"/>
    <mergeCell ref="A46:E46"/>
    <mergeCell ref="A47:E47"/>
    <mergeCell ref="B41:E41"/>
    <mergeCell ref="A49:E49"/>
    <mergeCell ref="A53:E53"/>
    <mergeCell ref="B38:E38"/>
    <mergeCell ref="B42:E42"/>
    <mergeCell ref="A45:E45"/>
    <mergeCell ref="A44:E44"/>
    <mergeCell ref="A51:E51"/>
    <mergeCell ref="B43:E43"/>
    <mergeCell ref="A48:E48"/>
    <mergeCell ref="V112:W112"/>
    <mergeCell ref="X112:Y112"/>
    <mergeCell ref="F113:G113"/>
    <mergeCell ref="H113:I113"/>
    <mergeCell ref="J113:K113"/>
    <mergeCell ref="L113:M113"/>
    <mergeCell ref="N113:O113"/>
    <mergeCell ref="P113:Q113"/>
    <mergeCell ref="R113:S113"/>
    <mergeCell ref="T113:U113"/>
    <mergeCell ref="V113:W113"/>
    <mergeCell ref="X113:Y113"/>
    <mergeCell ref="F112:G112"/>
    <mergeCell ref="H112:I112"/>
    <mergeCell ref="J112:K112"/>
    <mergeCell ref="L112:M112"/>
    <mergeCell ref="N112:O112"/>
    <mergeCell ref="P112:Q112"/>
    <mergeCell ref="R112:S112"/>
    <mergeCell ref="T112:U112"/>
    <mergeCell ref="F103:G103"/>
    <mergeCell ref="H103:I103"/>
    <mergeCell ref="J103:K103"/>
    <mergeCell ref="L103:M103"/>
    <mergeCell ref="N103:O103"/>
    <mergeCell ref="R103:S103"/>
    <mergeCell ref="T103:U103"/>
    <mergeCell ref="A96:A114"/>
    <mergeCell ref="B111:E111"/>
    <mergeCell ref="B113:E113"/>
    <mergeCell ref="B114:E114"/>
    <mergeCell ref="B97:E97"/>
    <mergeCell ref="B98:E98"/>
    <mergeCell ref="B99:E99"/>
    <mergeCell ref="B101:E101"/>
    <mergeCell ref="B102:E102"/>
    <mergeCell ref="B105:E105"/>
    <mergeCell ref="B107:E107"/>
    <mergeCell ref="B109:E109"/>
    <mergeCell ref="F98:G98"/>
    <mergeCell ref="H98:I98"/>
    <mergeCell ref="J98:K98"/>
    <mergeCell ref="F102:G102"/>
    <mergeCell ref="B60:C62"/>
    <mergeCell ref="D71:E71"/>
    <mergeCell ref="J114:K114"/>
    <mergeCell ref="L114:M114"/>
    <mergeCell ref="N114:O114"/>
    <mergeCell ref="P114:Q114"/>
    <mergeCell ref="F99:G99"/>
    <mergeCell ref="P103:Q103"/>
    <mergeCell ref="P105:Q105"/>
    <mergeCell ref="F107:G107"/>
    <mergeCell ref="H107:I107"/>
    <mergeCell ref="J107:K107"/>
    <mergeCell ref="L107:M107"/>
    <mergeCell ref="N107:O107"/>
    <mergeCell ref="H102:I102"/>
    <mergeCell ref="J102:K102"/>
    <mergeCell ref="L102:M102"/>
    <mergeCell ref="N102:O102"/>
    <mergeCell ref="P101:Q101"/>
    <mergeCell ref="H99:I99"/>
    <mergeCell ref="J99:K99"/>
    <mergeCell ref="L99:M99"/>
    <mergeCell ref="N99:O99"/>
    <mergeCell ref="P111:Q111"/>
    <mergeCell ref="B69:C71"/>
    <mergeCell ref="V114:W114"/>
    <mergeCell ref="X114:Y114"/>
    <mergeCell ref="B94:E94"/>
    <mergeCell ref="B95:E95"/>
    <mergeCell ref="F89:G89"/>
    <mergeCell ref="H89:I89"/>
    <mergeCell ref="J89:K89"/>
    <mergeCell ref="L89:M89"/>
    <mergeCell ref="N89:O89"/>
    <mergeCell ref="P89:Q89"/>
    <mergeCell ref="R89:S89"/>
    <mergeCell ref="T89:U89"/>
    <mergeCell ref="V89:W89"/>
    <mergeCell ref="X89:Y89"/>
    <mergeCell ref="X92:Y92"/>
    <mergeCell ref="F95:G95"/>
    <mergeCell ref="H95:I95"/>
    <mergeCell ref="B103:E103"/>
    <mergeCell ref="F114:G114"/>
    <mergeCell ref="F101:G101"/>
    <mergeCell ref="R114:S114"/>
    <mergeCell ref="T114:U114"/>
    <mergeCell ref="H114:I114"/>
    <mergeCell ref="D72:E72"/>
    <mergeCell ref="A85:E85"/>
    <mergeCell ref="A58:E58"/>
    <mergeCell ref="A66:E66"/>
    <mergeCell ref="A67:E67"/>
    <mergeCell ref="A75:E75"/>
    <mergeCell ref="A72:A74"/>
    <mergeCell ref="A81:E81"/>
    <mergeCell ref="B78:E78"/>
    <mergeCell ref="A80:E80"/>
    <mergeCell ref="A69:A71"/>
    <mergeCell ref="D60:E60"/>
    <mergeCell ref="D61:E61"/>
    <mergeCell ref="D62:E62"/>
    <mergeCell ref="D63:E63"/>
    <mergeCell ref="D64:E64"/>
    <mergeCell ref="B63:C65"/>
    <mergeCell ref="B77:E77"/>
    <mergeCell ref="B68:C68"/>
    <mergeCell ref="B84:D84"/>
    <mergeCell ref="D73:E73"/>
    <mergeCell ref="A63:A65"/>
    <mergeCell ref="D74:E74"/>
    <mergeCell ref="B59:C59"/>
    <mergeCell ref="D65:E65"/>
    <mergeCell ref="N85:O85"/>
    <mergeCell ref="P83:Q83"/>
    <mergeCell ref="J52:K52"/>
    <mergeCell ref="L52:M52"/>
    <mergeCell ref="T56:U56"/>
    <mergeCell ref="N56:O56"/>
    <mergeCell ref="N60:O60"/>
    <mergeCell ref="A76:E76"/>
    <mergeCell ref="B55:E55"/>
    <mergeCell ref="A60:A62"/>
    <mergeCell ref="D69:E69"/>
    <mergeCell ref="D70:E70"/>
    <mergeCell ref="D59:E59"/>
    <mergeCell ref="D68:E68"/>
    <mergeCell ref="H55:I55"/>
    <mergeCell ref="J55:K55"/>
    <mergeCell ref="J61:K61"/>
    <mergeCell ref="H57:I57"/>
    <mergeCell ref="H61:I61"/>
    <mergeCell ref="J62:K62"/>
    <mergeCell ref="F85:G85"/>
    <mergeCell ref="H85:I85"/>
    <mergeCell ref="B72:C74"/>
    <mergeCell ref="J56:K56"/>
    <mergeCell ref="F51:G51"/>
    <mergeCell ref="J50:K50"/>
    <mergeCell ref="J57:K57"/>
    <mergeCell ref="F57:G57"/>
    <mergeCell ref="H51:I51"/>
    <mergeCell ref="F50:G50"/>
    <mergeCell ref="H73:I73"/>
    <mergeCell ref="F70:G70"/>
    <mergeCell ref="J70:K70"/>
    <mergeCell ref="F69:G69"/>
    <mergeCell ref="H63:I63"/>
    <mergeCell ref="J63:K63"/>
    <mergeCell ref="F71:G71"/>
    <mergeCell ref="H71:I71"/>
    <mergeCell ref="J71:K71"/>
    <mergeCell ref="J72:K72"/>
    <mergeCell ref="F65:G65"/>
    <mergeCell ref="F72:G72"/>
    <mergeCell ref="J73:K73"/>
    <mergeCell ref="J60:K60"/>
    <mergeCell ref="F61:G61"/>
    <mergeCell ref="F63:G63"/>
    <mergeCell ref="P62:Q62"/>
    <mergeCell ref="P51:Q51"/>
    <mergeCell ref="T52:U52"/>
    <mergeCell ref="R51:S51"/>
    <mergeCell ref="R52:S52"/>
    <mergeCell ref="T55:U55"/>
    <mergeCell ref="L60:M60"/>
    <mergeCell ref="R61:S61"/>
    <mergeCell ref="T61:U61"/>
    <mergeCell ref="P55:Q55"/>
    <mergeCell ref="P60:Q60"/>
    <mergeCell ref="L62:M62"/>
    <mergeCell ref="P57:Q57"/>
    <mergeCell ref="P56:Q56"/>
    <mergeCell ref="N52:O52"/>
    <mergeCell ref="L57:M57"/>
    <mergeCell ref="N57:O57"/>
    <mergeCell ref="L55:M55"/>
    <mergeCell ref="N55:O55"/>
    <mergeCell ref="P52:Q52"/>
    <mergeCell ref="P33:Q33"/>
    <mergeCell ref="J37:K37"/>
    <mergeCell ref="J33:K33"/>
    <mergeCell ref="F37:G37"/>
    <mergeCell ref="R47:S47"/>
    <mergeCell ref="P47:Q47"/>
    <mergeCell ref="N32:O32"/>
    <mergeCell ref="F42:G42"/>
    <mergeCell ref="F39:G39"/>
    <mergeCell ref="J34:K34"/>
    <mergeCell ref="L34:M34"/>
    <mergeCell ref="N34:O34"/>
    <mergeCell ref="J38:K38"/>
    <mergeCell ref="H34:I34"/>
    <mergeCell ref="L42:M42"/>
    <mergeCell ref="L39:M39"/>
    <mergeCell ref="L32:M32"/>
    <mergeCell ref="H32:I32"/>
    <mergeCell ref="L33:M33"/>
    <mergeCell ref="H39:I39"/>
    <mergeCell ref="P32:Q32"/>
    <mergeCell ref="F34:G34"/>
    <mergeCell ref="X49:Y49"/>
    <mergeCell ref="X50:Y50"/>
    <mergeCell ref="F43:G43"/>
    <mergeCell ref="H43:I43"/>
    <mergeCell ref="J43:K43"/>
    <mergeCell ref="F48:G48"/>
    <mergeCell ref="F49:G49"/>
    <mergeCell ref="F38:G38"/>
    <mergeCell ref="H38:I38"/>
    <mergeCell ref="L43:M43"/>
    <mergeCell ref="F44:G44"/>
    <mergeCell ref="H44:I44"/>
    <mergeCell ref="J44:K44"/>
    <mergeCell ref="L44:M44"/>
    <mergeCell ref="J49:K49"/>
    <mergeCell ref="L49:M49"/>
    <mergeCell ref="H48:I48"/>
    <mergeCell ref="T44:U44"/>
    <mergeCell ref="P44:Q44"/>
    <mergeCell ref="P49:Q49"/>
    <mergeCell ref="P50:Q50"/>
    <mergeCell ref="N37:O37"/>
    <mergeCell ref="V38:W38"/>
    <mergeCell ref="P39:Q39"/>
    <mergeCell ref="N48:O48"/>
    <mergeCell ref="P48:Q48"/>
    <mergeCell ref="R49:S49"/>
    <mergeCell ref="R50:S50"/>
    <mergeCell ref="R44:S44"/>
    <mergeCell ref="P38:Q38"/>
    <mergeCell ref="R38:S38"/>
    <mergeCell ref="V49:W49"/>
    <mergeCell ref="H50:I50"/>
    <mergeCell ref="H33:I33"/>
    <mergeCell ref="L26:M26"/>
    <mergeCell ref="N24:O24"/>
    <mergeCell ref="P24:Q24"/>
    <mergeCell ref="R24:S24"/>
    <mergeCell ref="T32:U32"/>
    <mergeCell ref="V50:W50"/>
    <mergeCell ref="N33:O33"/>
    <mergeCell ref="P34:Q34"/>
    <mergeCell ref="V26:W26"/>
    <mergeCell ref="V29:W29"/>
    <mergeCell ref="R39:S39"/>
    <mergeCell ref="T50:U50"/>
    <mergeCell ref="H49:I49"/>
    <mergeCell ref="N49:O49"/>
    <mergeCell ref="H47:I47"/>
    <mergeCell ref="J47:K47"/>
    <mergeCell ref="L47:M47"/>
    <mergeCell ref="J48:K48"/>
    <mergeCell ref="L48:M48"/>
    <mergeCell ref="N44:O44"/>
    <mergeCell ref="R42:S42"/>
    <mergeCell ref="F29:G29"/>
    <mergeCell ref="T42:U42"/>
    <mergeCell ref="R43:S43"/>
    <mergeCell ref="X31:Y31"/>
    <mergeCell ref="X34:Y34"/>
    <mergeCell ref="X38:Y38"/>
    <mergeCell ref="T37:U37"/>
    <mergeCell ref="V37:W37"/>
    <mergeCell ref="T34:U34"/>
    <mergeCell ref="R31:S31"/>
    <mergeCell ref="V33:W33"/>
    <mergeCell ref="T31:U31"/>
    <mergeCell ref="T33:U33"/>
    <mergeCell ref="V32:W32"/>
    <mergeCell ref="V34:W34"/>
    <mergeCell ref="T38:U38"/>
    <mergeCell ref="X37:Y37"/>
    <mergeCell ref="P42:Q42"/>
    <mergeCell ref="N42:O42"/>
    <mergeCell ref="V42:W42"/>
    <mergeCell ref="V43:W43"/>
    <mergeCell ref="N38:O38"/>
    <mergeCell ref="R37:S37"/>
    <mergeCell ref="P37:Q37"/>
    <mergeCell ref="X48:Y48"/>
    <mergeCell ref="X33:Y33"/>
    <mergeCell ref="X29:Y29"/>
    <mergeCell ref="X26:Y26"/>
    <mergeCell ref="X44:Y44"/>
    <mergeCell ref="T39:U39"/>
    <mergeCell ref="V39:W39"/>
    <mergeCell ref="X43:Y43"/>
    <mergeCell ref="X42:Y42"/>
    <mergeCell ref="T43:U43"/>
    <mergeCell ref="T47:U47"/>
    <mergeCell ref="T48:U48"/>
    <mergeCell ref="V48:W48"/>
    <mergeCell ref="V44:W44"/>
    <mergeCell ref="X30:Y30"/>
    <mergeCell ref="V31:W31"/>
    <mergeCell ref="AA16:AA19"/>
    <mergeCell ref="AA20:AA21"/>
    <mergeCell ref="A93:E93"/>
    <mergeCell ref="F93:G93"/>
    <mergeCell ref="H93:I93"/>
    <mergeCell ref="J93:K93"/>
    <mergeCell ref="L93:M93"/>
    <mergeCell ref="N93:O93"/>
    <mergeCell ref="P93:Q93"/>
    <mergeCell ref="R93:S93"/>
    <mergeCell ref="X24:Y24"/>
    <mergeCell ref="T29:U29"/>
    <mergeCell ref="H26:I26"/>
    <mergeCell ref="H29:I29"/>
    <mergeCell ref="R30:S30"/>
    <mergeCell ref="N30:O30"/>
    <mergeCell ref="N29:O29"/>
    <mergeCell ref="R48:S48"/>
    <mergeCell ref="X39:Y39"/>
    <mergeCell ref="V47:W47"/>
    <mergeCell ref="X47:Y47"/>
    <mergeCell ref="P43:Q43"/>
    <mergeCell ref="N43:O43"/>
    <mergeCell ref="X32:Y32"/>
  </mergeCells>
  <phoneticPr fontId="9" type="noConversion"/>
  <dataValidations disablePrompts="1" count="5">
    <dataValidation allowBlank="1" showInputMessage="1" showErrorMessage="1" promptTitle="Number of Periods" prompt="If you need to change the number of periods after having entered a value,  please clear the cell, hit enter and then enter the new value." sqref="B8"/>
    <dataValidation allowBlank="1" showInputMessage="1" showErrorMessage="1" promptTitle="Period Dates" prompt="Please enter the dates for each period if they are different than 1 year (only if more than 1 period in the budget)." sqref="F18:G18"/>
    <dataValidation allowBlank="1" showInputMessage="1" showErrorMessage="1" promptTitle="Cost Share" prompt="Please enter the total cost share for the period." sqref="F113:Y113"/>
    <dataValidation allowBlank="1" showErrorMessage="1" sqref="A47:A51"/>
    <dataValidation allowBlank="1" showInputMessage="1" showErrorMessage="1" promptTitle="Fringe Override" prompt="Please enter the value as a decimal" sqref="C30 C32"/>
  </dataValidations>
  <hyperlinks>
    <hyperlink ref="C20" location="'Salary &amp; Fringe'!A1" display="Click here to add salary &amp; fringe information"/>
    <hyperlink ref="D20" location="'Salary &amp; Fringe'!A1" display="Click here to add salary &amp; fringe information"/>
    <hyperlink ref="E20" location="'Salary &amp; Fringe'!A1" display="Click here to add salary &amp; fringe information"/>
  </hyperlinks>
  <pageMargins left="0.75" right="0.75" top="1" bottom="1" header="0.5" footer="0.5"/>
  <pageSetup scale="47" fitToHeight="10" orientation="landscape" horizontalDpi="4294967292" verticalDpi="4294967292" r:id="rId1"/>
  <headerFooter>
    <oddFooter>&amp;L&amp;"Lucida Grande,Regular"&amp;K000000Revised - 11/18/22</oddFooter>
  </headerFooter>
  <drawing r:id="rId2"/>
  <extLst>
    <ext xmlns:x14="http://schemas.microsoft.com/office/spreadsheetml/2009/9/main" uri="{CCE6A557-97BC-4b89-ADB6-D9C93CAAB3DF}">
      <x14:dataValidations xmlns:xm="http://schemas.microsoft.com/office/excel/2006/main" disablePrompts="1" count="8">
        <x14:dataValidation type="list" allowBlank="1" showInputMessage="1" showErrorMessage="1">
          <x14:formula1>
            <xm:f>'Validation Data'!$H$2:$H$26</xm:f>
          </x14:formula1>
          <xm:sqref>E24 E22</xm:sqref>
        </x14:dataValidation>
        <x14:dataValidation type="list" allowBlank="1" showErrorMessage="1" promptTitle="Number of Periods" prompt="If you need to change the number of periods after having entered a value,  please clear the cell, hit enter and then enter the new value.">
          <x14:formula1>
            <xm:f>'Validation Data'!$J$2:$J$4</xm:f>
          </x14:formula1>
          <xm:sqref>B9</xm:sqref>
        </x14:dataValidation>
        <x14:dataValidation type="list" allowBlank="1" showInputMessage="1" showErrorMessage="1">
          <x14:formula1>
            <xm:f>'Validation Data'!$D$2:$D$7</xm:f>
          </x14:formula1>
          <xm:sqref>A55:A56</xm:sqref>
        </x14:dataValidation>
        <x14:dataValidation type="list" allowBlank="1" showInputMessage="1" showErrorMessage="1">
          <x14:formula1>
            <xm:f>'Validation Data'!$G$2:$G$44</xm:f>
          </x14:formula1>
          <xm:sqref>D24 D22</xm:sqref>
        </x14:dataValidation>
        <x14:dataValidation type="list" allowBlank="1" showInputMessage="1" showErrorMessage="1">
          <x14:formula1>
            <xm:f>'Validation Data'!$E$2:$E$24</xm:f>
          </x14:formula1>
          <xm:sqref>A83:A84</xm:sqref>
        </x14:dataValidation>
        <x14:dataValidation type="list" allowBlank="1" showInputMessage="1" showErrorMessage="1">
          <x14:formula1>
            <xm:f>'Validation Data'!$C$2:$C$14</xm:f>
          </x14:formula1>
          <xm:sqref>A78:A79</xm:sqref>
        </x14:dataValidation>
        <x14:dataValidation type="list" allowBlank="1" showInputMessage="1" showErrorMessage="1">
          <x14:formula1>
            <xm:f>'Validation Data'!$K$2:$K$4</xm:f>
          </x14:formula1>
          <xm:sqref>D9</xm:sqref>
        </x14:dataValidation>
        <x14:dataValidation type="list" allowBlank="1" showInputMessage="1" showErrorMessage="1">
          <x14:formula1>
            <xm:f>'Validation Data'!A2:A6</xm:f>
          </x14:formula1>
          <xm:sqref>D10</xm:sqref>
        </x14:dataValidation>
      </x14:dataValidations>
    </ex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O18"/>
  <sheetViews>
    <sheetView workbookViewId="0">
      <selection activeCell="P2" sqref="P2"/>
    </sheetView>
  </sheetViews>
  <sheetFormatPr defaultColWidth="11" defaultRowHeight="15.75" x14ac:dyDescent="0.25"/>
  <cols>
    <col min="1" max="1" width="26.875" customWidth="1"/>
    <col min="2" max="2" width="16.625" customWidth="1"/>
  </cols>
  <sheetData>
    <row r="1" spans="1:15" ht="31.5" x14ac:dyDescent="0.25">
      <c r="A1" s="32" t="s">
        <v>12</v>
      </c>
      <c r="B1" s="32" t="s">
        <v>37</v>
      </c>
      <c r="C1" s="32" t="s">
        <v>205</v>
      </c>
      <c r="D1" s="32" t="s">
        <v>201</v>
      </c>
      <c r="E1" s="33" t="s">
        <v>202</v>
      </c>
      <c r="F1" s="32">
        <v>1</v>
      </c>
      <c r="G1" s="32">
        <v>2</v>
      </c>
      <c r="H1" s="32">
        <v>3</v>
      </c>
      <c r="I1" s="32">
        <v>4</v>
      </c>
      <c r="J1" s="32">
        <v>5</v>
      </c>
      <c r="K1" s="32">
        <v>6</v>
      </c>
      <c r="L1" s="32">
        <v>7</v>
      </c>
      <c r="M1" s="32">
        <v>8</v>
      </c>
      <c r="N1" s="32">
        <v>9</v>
      </c>
      <c r="O1" s="33">
        <v>10</v>
      </c>
    </row>
    <row r="2" spans="1:15" x14ac:dyDescent="0.25">
      <c r="A2" s="3" t="str">
        <f>'Salary &amp; Fringe'!C4</f>
        <v>Select One</v>
      </c>
      <c r="B2" s="3" t="str">
        <f>'Salary &amp; Fringe'!F4</f>
        <v>Select One</v>
      </c>
      <c r="C2" s="34">
        <f>'Salary &amp; Fringe'!J4</f>
        <v>0</v>
      </c>
      <c r="D2" s="34">
        <f>'Salary &amp; Fringe'!K4</f>
        <v>0</v>
      </c>
      <c r="E2" s="34">
        <f>'Salary &amp; Fringe'!L4</f>
        <v>0</v>
      </c>
      <c r="F2" s="3">
        <f>IF(Budget!G23&lt;25%,0,Budget!F23)</f>
        <v>0</v>
      </c>
      <c r="G2" s="95">
        <f>IF(Budget!I23&lt;25%,0,Budget!H23)</f>
        <v>0</v>
      </c>
      <c r="H2" s="95">
        <f>IF(Budget!K23&lt;25%,0,Budget!J23)</f>
        <v>0</v>
      </c>
      <c r="I2" s="95">
        <f>IF(Budget!M23&lt;25%,0,Budget!L23)</f>
        <v>0</v>
      </c>
      <c r="J2" s="95">
        <f>IF(Budget!O23&lt;25%,0,Budget!N23)</f>
        <v>0</v>
      </c>
      <c r="K2" s="95">
        <f>IF(Budget!Q23&lt;25%,0,Budget!P23)</f>
        <v>0</v>
      </c>
      <c r="L2" s="95">
        <f>IF(Budget!S23&lt;25%,0,Budget!R23)</f>
        <v>0</v>
      </c>
      <c r="M2" s="95">
        <f>IF(Budget!U23&lt;25%,0,Budget!T23)</f>
        <v>0</v>
      </c>
      <c r="N2" s="95">
        <f>IF(Budget!W23&lt;25%,0,Budget!V23)</f>
        <v>0</v>
      </c>
      <c r="O2" s="95">
        <f>IF(Budget!Y23&lt;25%,0,Budget!X23)</f>
        <v>0</v>
      </c>
    </row>
    <row r="3" spans="1:15" ht="2.1" customHeight="1" x14ac:dyDescent="0.25">
      <c r="A3" s="40"/>
      <c r="B3" s="40"/>
      <c r="C3" s="40"/>
      <c r="D3" s="40"/>
      <c r="E3" s="40"/>
      <c r="F3" s="40"/>
      <c r="G3" s="40"/>
      <c r="H3" s="41"/>
      <c r="I3" s="41"/>
      <c r="J3" s="41"/>
      <c r="K3" s="40"/>
      <c r="L3" s="41"/>
      <c r="M3" s="41"/>
      <c r="N3" s="41"/>
      <c r="O3" s="41"/>
    </row>
    <row r="4" spans="1:15" x14ac:dyDescent="0.25">
      <c r="A4" s="3" t="str">
        <f>'Salary &amp; Fringe'!C6</f>
        <v>Select One</v>
      </c>
      <c r="B4" s="3" t="str">
        <f>'Salary &amp; Fringe'!F6</f>
        <v>Select One</v>
      </c>
      <c r="C4" s="34">
        <f>'Salary &amp; Fringe'!J6</f>
        <v>0</v>
      </c>
      <c r="D4" s="34">
        <f>'Salary &amp; Fringe'!K6</f>
        <v>0</v>
      </c>
      <c r="E4" s="34">
        <f>'Salary &amp; Fringe'!L6</f>
        <v>0</v>
      </c>
      <c r="F4" s="95">
        <f>IF(Budget!G25&lt;25%,0,Budget!F25)</f>
        <v>0</v>
      </c>
      <c r="G4" s="95">
        <f>IF(Budget!I25&lt;25%,0,Budget!H25)</f>
        <v>0</v>
      </c>
      <c r="H4" s="95">
        <f>IF(Budget!K25&lt;25%,0,Budget!J25)</f>
        <v>0</v>
      </c>
      <c r="I4" s="95">
        <f>IF(Budget!M25&lt;25%,0,Budget!L25)</f>
        <v>0</v>
      </c>
      <c r="J4" s="95">
        <f>IF(Budget!O25&lt;25%,0,Budget!N25)</f>
        <v>0</v>
      </c>
      <c r="K4" s="95">
        <f>IF(Budget!Q25&lt;25%,0,Budget!P25)</f>
        <v>0</v>
      </c>
      <c r="L4" s="95">
        <f>IF(Budget!S25&lt;25%,0,Budget!R25)</f>
        <v>0</v>
      </c>
      <c r="M4" s="95">
        <f>IF(Budget!U25&lt;25%,0,Budget!T25)</f>
        <v>0</v>
      </c>
      <c r="N4" s="95">
        <f>IF(Budget!W25&lt;25%,0,Budget!V25)</f>
        <v>0</v>
      </c>
      <c r="O4" s="95">
        <f>IF(Budget!Y25&lt;25%,0,Budget!X25)</f>
        <v>0</v>
      </c>
    </row>
    <row r="5" spans="1:15" ht="2.1" customHeight="1" x14ac:dyDescent="0.25">
      <c r="A5" s="40"/>
      <c r="B5" s="40"/>
      <c r="C5" s="40"/>
      <c r="D5" s="40"/>
      <c r="E5" s="40"/>
      <c r="F5" s="40"/>
      <c r="G5" s="40"/>
      <c r="H5" s="41"/>
      <c r="I5" s="40"/>
      <c r="J5" s="40"/>
      <c r="K5" s="40"/>
      <c r="L5" s="41"/>
      <c r="M5" s="41"/>
      <c r="N5" s="41"/>
      <c r="O5" s="41"/>
    </row>
    <row r="6" spans="1:15" x14ac:dyDescent="0.25">
      <c r="A6" s="42" t="s">
        <v>206</v>
      </c>
      <c r="B6" s="46"/>
      <c r="C6" s="3"/>
      <c r="D6" s="3"/>
      <c r="E6" s="3"/>
      <c r="F6" s="3"/>
      <c r="G6" s="3"/>
      <c r="H6" s="3"/>
      <c r="I6" s="39"/>
      <c r="J6" s="39"/>
      <c r="K6" s="3"/>
      <c r="L6" s="3"/>
      <c r="M6" s="3"/>
      <c r="N6" s="3"/>
      <c r="O6" s="3"/>
    </row>
    <row r="18" spans="1:1" x14ac:dyDescent="0.25">
      <c r="A18" s="47"/>
    </row>
  </sheetData>
  <sheetProtection algorithmName="SHA-512" hashValue="QAtyqG8b1I5FWfU/d6RgV3LALuzFp6flUBvZ8OjahIRtUQh8EjrwHebUuOgaegxv7Zt6yhU4MGsPxj0Cfd7yJQ==" saltValue="dcF7J1G7t0Sr9yaKoZ1JQQ==" spinCount="100000" sheet="1" objects="1" scenarios="1"/>
  <pageMargins left="0.75" right="0.75" top="1" bottom="1" header="0.5" footer="0.5"/>
  <pageSetup orientation="portrait" horizontalDpi="4294967292" verticalDpi="4294967292"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
  <sheetViews>
    <sheetView workbookViewId="0"/>
  </sheetViews>
  <sheetFormatPr defaultColWidth="8.875" defaultRowHeight="15.75" x14ac:dyDescent="0.25"/>
  <sheetData/>
  <sheetProtection algorithmName="SHA-512" hashValue="p/ngaYTcJYOXoiHdsRnpkHl50SGLlIDRf6aL/VxVPVJk1KtOx/q6qeyGo+/fCX/2H2umK9RnNdm70tihAt8SUw==" saltValue="lomEuw1Mvax1nywSNFLSBA==" spinCount="100000" sheet="1" objects="1" scenarios="1"/>
  <pageMargins left="0.7" right="0.7" top="0.75" bottom="0.75" header="0.3" footer="0.3"/>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K8"/>
  <sheetViews>
    <sheetView zoomScale="90" zoomScaleNormal="90" zoomScalePageLayoutView="90" workbookViewId="0">
      <selection activeCell="B2" sqref="B2"/>
    </sheetView>
  </sheetViews>
  <sheetFormatPr defaultColWidth="11" defaultRowHeight="15.75" x14ac:dyDescent="0.25"/>
  <cols>
    <col min="1" max="1" width="37.625" customWidth="1"/>
  </cols>
  <sheetData>
    <row r="1" spans="1:11" x14ac:dyDescent="0.25">
      <c r="A1" s="32" t="s">
        <v>72</v>
      </c>
      <c r="B1" s="32">
        <v>1</v>
      </c>
      <c r="C1" s="32">
        <v>2</v>
      </c>
      <c r="D1" s="32">
        <v>3</v>
      </c>
      <c r="E1" s="32">
        <v>4</v>
      </c>
      <c r="F1" s="32">
        <v>5</v>
      </c>
      <c r="G1" s="32">
        <v>6</v>
      </c>
      <c r="H1" s="32">
        <v>7</v>
      </c>
      <c r="I1" s="32">
        <v>8</v>
      </c>
      <c r="J1" s="32">
        <v>9</v>
      </c>
      <c r="K1" s="33">
        <v>10</v>
      </c>
    </row>
    <row r="2" spans="1:11" ht="15.95" customHeight="1" x14ac:dyDescent="0.25">
      <c r="A2" s="3">
        <f>Budget!A60</f>
        <v>0</v>
      </c>
      <c r="B2" s="46">
        <f>IF(Budget!F62&gt;25000, 25000, Budget!F62)</f>
        <v>0</v>
      </c>
      <c r="C2" s="46">
        <f>IF(B2&lt;25000, (IF((B2+Budget!H62)&lt;25000, Budget!H62, 25000-(B2))), 0)</f>
        <v>0</v>
      </c>
      <c r="D2" s="46">
        <f>IF((B2+C2)&lt;25000, (IF((B2+C2+Budget!J62)&lt;25000, Budget!J62, 25000-(B2+C2))), 0)</f>
        <v>0</v>
      </c>
      <c r="E2" s="46">
        <f>IF((B2+C2+D2)&lt;25000, (IF((B2+C2+D2+Budget!L62)&lt;25000, Budget!L62, 25000-(B2+C2+D2))), 0)</f>
        <v>0</v>
      </c>
      <c r="F2" s="46">
        <f>IF((B2+C2+D2+E2)&lt;25000, (IF((B2+C2+D2+E2+Budget!N62)&lt;25000, Budget!N62, 25000-(B2+C2+D2+E2))), 0)</f>
        <v>0</v>
      </c>
      <c r="G2" s="46">
        <f>IF((B2+C2+D2+E2+F2)&lt;25000, (IF((B2+C2+D2+E2+F2+Budget!P62)&lt;25000, Budget!P62, 25000-(B2+C2+D2+E2+F2))), 0)</f>
        <v>0</v>
      </c>
      <c r="H2" s="46">
        <f>IF((B2+C2+D2+E2+F2+G2)&lt;25000, (IF((B2+C2+D2+E2+F2+G2+Budget!R62)&lt;25000, Budget!R62, 25000-(B2+C2+D2+E2+F2+G2))), 0)</f>
        <v>0</v>
      </c>
      <c r="I2" s="46">
        <f>IF((B2+C2+D2+E2+F2+G2+H2)&lt;25000, (IF((B2+C2+D2+E2+F2+G2+H2+Budget!T62)&lt;25000, Budget!T62, 25000-(B2+C2+D2+E2+F2+G2+H2))), 0)</f>
        <v>0</v>
      </c>
      <c r="J2" s="46">
        <f>IF((B2+C2+D2+E2+F2+G2+H2+I2)&lt;25000, (IF((B2+C2+D2+E2+F2+G2+H2+I2+Budget!V62)&lt;25000, Budget!V62, 25000-(B2+C2+D2+E2+F2+G2+H2+I2))), 0)</f>
        <v>0</v>
      </c>
      <c r="K2" s="46">
        <f>IF((B2+C2+D2+E2+F2+G2+H2+I2+J2)&lt;25000, (IF((B2+C2+D2+E2+F2+G2+H2+I2+J2+Budget!X62)&lt;25000, Budget!X62, 25000-(B2+C2+D2+E2+F2+G2+H2+I2+J2))), 0)</f>
        <v>0</v>
      </c>
    </row>
    <row r="3" spans="1:11" ht="2.1" customHeight="1" x14ac:dyDescent="0.25">
      <c r="A3" s="40"/>
      <c r="B3" s="40"/>
      <c r="C3" s="40"/>
      <c r="D3" s="40"/>
      <c r="E3" s="40"/>
      <c r="F3" s="40"/>
      <c r="G3" s="40"/>
      <c r="H3" s="40"/>
      <c r="I3" s="40"/>
      <c r="J3" s="40"/>
      <c r="K3" s="40"/>
    </row>
    <row r="4" spans="1:11" ht="2.1" customHeight="1" x14ac:dyDescent="0.25">
      <c r="A4" s="40"/>
      <c r="B4" s="40"/>
      <c r="C4" s="40"/>
      <c r="D4" s="40"/>
      <c r="E4" s="40"/>
      <c r="F4" s="40"/>
      <c r="G4" s="40"/>
      <c r="H4" s="40"/>
      <c r="I4" s="40"/>
      <c r="J4" s="40"/>
      <c r="K4" s="40"/>
    </row>
    <row r="5" spans="1:11" ht="15" customHeight="1" x14ac:dyDescent="0.25">
      <c r="A5" s="3">
        <f>Budget!A63</f>
        <v>0</v>
      </c>
      <c r="B5" s="46">
        <f>IF(Budget!F65&gt;25000, 25000, Budget!F65)</f>
        <v>0</v>
      </c>
      <c r="C5" s="46">
        <f>IF(B5&lt;25000, (IF((B5+Budget!H65)&lt;25000, Budget!H65, 25000-(B5))), 0)</f>
        <v>0</v>
      </c>
      <c r="D5" s="46">
        <f>IF((B5+C5)&lt;25000, (IF((B5+C5+Budget!J65)&lt;25000, Budget!J65, 25000-(B5+C5))), 0)</f>
        <v>0</v>
      </c>
      <c r="E5" s="46">
        <f>IF((B5+C5+D5)&lt;25000, (IF((B5+C5+D5+Budget!L65)&lt;25000, Budget!L65, 25000-(B5+C5+D5))), 0)</f>
        <v>0</v>
      </c>
      <c r="F5" s="46">
        <f>IF((B5+C5+D5+E5)&lt;25000, (IF((B5+C5+D5+E5+Budget!N65)&lt;25000, Budget!N65, 25000-(B5+C5+D5+E5))), 0)</f>
        <v>0</v>
      </c>
      <c r="G5" s="46">
        <f>IF((B5+C5+D5+E5+F5)&lt;25000, (IF((B5+C5+D5+E5+F5+Budget!P65)&lt;25000, Budget!P65, 25000-(B5+C5+D5+E5+F5))), 0)</f>
        <v>0</v>
      </c>
      <c r="H5" s="46">
        <f>IF((B5+C5+D5+E5+F5+G5)&lt;25000, (IF((B5+C5+D5+E5+F5+G5+Budget!R65)&lt;25000, Budget!R65, 25000-(B5+C5+D5+E5+F5+G5))), 0)</f>
        <v>0</v>
      </c>
      <c r="I5" s="46">
        <f>IF((B5+C5+D5+E5+F5+G5+H5)&lt;25000, (IF((B5+C5+D5+E5+F5+G5+H5+Budget!T65)&lt;25000, Budget!T65, 25000-(B5+C5+D5+E5+F5+G5+H5))), 0)</f>
        <v>0</v>
      </c>
      <c r="J5" s="46">
        <f>IF((B5+C5+D5+E5+F5+G5+H5+I5)&lt;25000, (IF((B5+C5+D5+E5+F5+G5+H5+I5+Budget!V65)&lt;25000, Budget!V65, 25000-(B5+C5+D5+E5+F5+G5+H5+I5))), 0)</f>
        <v>0</v>
      </c>
      <c r="K5" s="46">
        <f>IF((B5+C5+D5+E5+F5+G5+H5+I5+J5)&lt;25000, (IF((B5+C5+D5+E5+F5+G5+H5+I5+J5+Budget!X65)&lt;25000, Budget!X65, 25000-(B5+C5+D5+E5+F5+G5+H5+I5+J5))), 0)</f>
        <v>0</v>
      </c>
    </row>
    <row r="6" spans="1:11" ht="2.1" customHeight="1" x14ac:dyDescent="0.25">
      <c r="A6" s="40"/>
      <c r="B6" s="48"/>
      <c r="C6" s="48"/>
      <c r="D6" s="48"/>
      <c r="E6" s="48"/>
      <c r="F6" s="48"/>
      <c r="G6" s="48"/>
      <c r="H6" s="48"/>
      <c r="I6" s="48"/>
      <c r="J6" s="48"/>
      <c r="K6" s="48"/>
    </row>
    <row r="7" spans="1:11" ht="2.1" customHeight="1" x14ac:dyDescent="0.25">
      <c r="A7" s="40"/>
      <c r="B7" s="48"/>
      <c r="C7" s="48"/>
      <c r="D7" s="48"/>
      <c r="E7" s="48"/>
      <c r="F7" s="48"/>
      <c r="G7" s="48"/>
      <c r="H7" s="48"/>
      <c r="I7" s="48"/>
      <c r="J7" s="48"/>
      <c r="K7" s="48"/>
    </row>
    <row r="8" spans="1:11" x14ac:dyDescent="0.25">
      <c r="A8" s="42" t="s">
        <v>206</v>
      </c>
    </row>
  </sheetData>
  <sheetProtection algorithmName="SHA-512" hashValue="sWqDXUAGGGTfnmxlRDZJOA6PHa2L2+pA8lko5SBClNp+oros8osgv/uRtxDfA8nd/3ltwNCZHB5CW6ys6y7r6g==" saltValue="iTt5pHt+dOWSSnFA/V2DWA==" spinCount="100000" sheet="1" objects="1" scenarios="1"/>
  <pageMargins left="0.75" right="0.75" top="1" bottom="1" header="0.5" footer="0.5"/>
  <pageSetup orientation="portrait" horizontalDpi="4294967292" verticalDpi="4294967292"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P17"/>
  <sheetViews>
    <sheetView zoomScale="75" zoomScaleNormal="75" zoomScalePageLayoutView="75" workbookViewId="0">
      <selection sqref="A1:A2"/>
    </sheetView>
  </sheetViews>
  <sheetFormatPr defaultColWidth="10.625" defaultRowHeight="15.75" x14ac:dyDescent="0.25"/>
  <cols>
    <col min="1" max="1" width="36" style="3" customWidth="1"/>
    <col min="2" max="2" width="32" style="3" customWidth="1"/>
    <col min="3" max="4" width="10.625" style="3"/>
    <col min="5" max="5" width="15.375" style="3" customWidth="1"/>
    <col min="6" max="6" width="10.625" style="3"/>
    <col min="7" max="7" width="17" style="3" bestFit="1" customWidth="1"/>
    <col min="8" max="8" width="12.5" style="92" bestFit="1" customWidth="1"/>
    <col min="9" max="9" width="13.125" style="3" customWidth="1"/>
    <col min="10" max="12" width="10.625" style="3"/>
    <col min="13" max="32" width="10.875" style="3" hidden="1" customWidth="1"/>
    <col min="33" max="42" width="10.625" style="3" hidden="1" customWidth="1"/>
    <col min="43" max="16384" width="10.625" style="3"/>
  </cols>
  <sheetData>
    <row r="1" spans="1:42" x14ac:dyDescent="0.25">
      <c r="A1" s="459" t="s">
        <v>43</v>
      </c>
      <c r="B1" s="2"/>
    </row>
    <row r="2" spans="1:42" x14ac:dyDescent="0.25">
      <c r="A2" s="460"/>
      <c r="B2" s="2"/>
      <c r="M2" s="461" t="s">
        <v>219</v>
      </c>
      <c r="N2" s="461"/>
      <c r="O2" s="461"/>
      <c r="P2" s="461"/>
      <c r="Q2" s="461"/>
      <c r="R2" s="461"/>
      <c r="S2" s="461"/>
      <c r="T2" s="461"/>
      <c r="U2" s="461"/>
      <c r="V2" s="461"/>
      <c r="W2" s="461" t="s">
        <v>220</v>
      </c>
      <c r="X2" s="461"/>
      <c r="Y2" s="461"/>
      <c r="Z2" s="461"/>
      <c r="AA2" s="461"/>
      <c r="AB2" s="461"/>
      <c r="AC2" s="461"/>
      <c r="AD2" s="461"/>
      <c r="AE2" s="461"/>
      <c r="AF2" s="461"/>
      <c r="AG2" s="461" t="s">
        <v>365</v>
      </c>
      <c r="AH2" s="461"/>
      <c r="AI2" s="461"/>
      <c r="AJ2" s="461"/>
      <c r="AK2" s="461"/>
      <c r="AL2" s="461"/>
      <c r="AM2" s="461"/>
      <c r="AN2" s="461"/>
      <c r="AO2" s="461"/>
      <c r="AP2" s="461"/>
    </row>
    <row r="3" spans="1:42" s="38" customFormat="1" ht="31.5" x14ac:dyDescent="0.25">
      <c r="A3" s="32" t="s">
        <v>11</v>
      </c>
      <c r="B3" s="32" t="s">
        <v>342</v>
      </c>
      <c r="C3" s="32" t="s">
        <v>12</v>
      </c>
      <c r="D3" s="32" t="s">
        <v>13</v>
      </c>
      <c r="E3" s="32" t="s">
        <v>362</v>
      </c>
      <c r="F3" s="32" t="s">
        <v>37</v>
      </c>
      <c r="G3" s="32" t="s">
        <v>38</v>
      </c>
      <c r="H3" s="32" t="s">
        <v>233</v>
      </c>
      <c r="I3" s="32" t="s">
        <v>204</v>
      </c>
      <c r="J3" s="32" t="s">
        <v>205</v>
      </c>
      <c r="K3" s="32" t="s">
        <v>201</v>
      </c>
      <c r="L3" s="33" t="s">
        <v>202</v>
      </c>
      <c r="M3" s="38">
        <v>1</v>
      </c>
      <c r="N3" s="38">
        <v>2</v>
      </c>
      <c r="O3" s="38">
        <v>3</v>
      </c>
      <c r="P3" s="38">
        <v>4</v>
      </c>
      <c r="Q3" s="38">
        <v>5</v>
      </c>
      <c r="R3" s="38">
        <v>6</v>
      </c>
      <c r="S3" s="38">
        <v>7</v>
      </c>
      <c r="T3" s="38">
        <v>8</v>
      </c>
      <c r="U3" s="38">
        <v>9</v>
      </c>
      <c r="V3" s="38">
        <v>10</v>
      </c>
      <c r="W3" s="38">
        <v>1</v>
      </c>
      <c r="X3" s="38">
        <v>2</v>
      </c>
      <c r="Y3" s="38">
        <v>3</v>
      </c>
      <c r="Z3" s="38">
        <v>4</v>
      </c>
      <c r="AA3" s="38">
        <v>5</v>
      </c>
      <c r="AB3" s="38">
        <v>6</v>
      </c>
      <c r="AC3" s="38">
        <v>7</v>
      </c>
      <c r="AD3" s="38">
        <v>8</v>
      </c>
      <c r="AE3" s="38">
        <v>9</v>
      </c>
      <c r="AF3" s="38">
        <v>10</v>
      </c>
      <c r="AG3" s="38">
        <v>1</v>
      </c>
      <c r="AH3" s="38">
        <v>2</v>
      </c>
      <c r="AI3" s="38">
        <v>3</v>
      </c>
      <c r="AJ3" s="38">
        <v>4</v>
      </c>
      <c r="AK3" s="38">
        <v>5</v>
      </c>
      <c r="AL3" s="38">
        <v>6</v>
      </c>
      <c r="AM3" s="38">
        <v>7</v>
      </c>
      <c r="AN3" s="38">
        <v>8</v>
      </c>
      <c r="AO3" s="38">
        <v>9</v>
      </c>
      <c r="AP3" s="38">
        <v>10</v>
      </c>
    </row>
    <row r="4" spans="1:42" x14ac:dyDescent="0.25">
      <c r="A4" s="3" t="str">
        <f>IF(ISBLANK(Budget!A22),"",Budget!A22)</f>
        <v/>
      </c>
      <c r="B4" s="3" t="str">
        <f>IF(ISBLANK(Budget!B22),"",Budget!B22)</f>
        <v/>
      </c>
      <c r="C4" s="3" t="str">
        <f>IF(ISBLANK(Budget!D22),"",Budget!D22)</f>
        <v>Select One</v>
      </c>
      <c r="D4" s="3" t="str">
        <f>IF(ISBLANK(Budget!E22),"",Budget!E22)</f>
        <v>Select One</v>
      </c>
      <c r="E4" s="84" t="s">
        <v>232</v>
      </c>
      <c r="F4" s="84" t="s">
        <v>232</v>
      </c>
      <c r="G4" s="142" t="str">
        <f>IF(C4="Select One","",VLOOKUP(C4,'Salary Tables'!$A$2:$Z$506,D4+2,FALSE))</f>
        <v/>
      </c>
      <c r="H4" s="143"/>
      <c r="I4" s="84">
        <v>1</v>
      </c>
      <c r="J4" s="120">
        <f>IF(ISNUMBER(SEARCH("GSR-NonRes",C4)),IF(ISNUMBER(SEARCH("Academic",F4)),'Salary Tables'!$B$44*I4,0),0)</f>
        <v>0</v>
      </c>
      <c r="K4" s="120">
        <f>IF(ISNUMBER(SEARCH("GSR*",C4)),IF(ISNUMBER(SEARCH("Academic",F4)),'Salary Tables'!$B$45*I4,0),0)</f>
        <v>0</v>
      </c>
      <c r="L4" s="120">
        <f>IF(ISNUMBER(SEARCH("GSR-Res",C4)),IF(ISNUMBER(SEARCH("Academic",F4)),('Salary Tables'!$B$43+'Salary Tables'!$B$46)*I4,0),IF(ISNUMBER(SEARCH("GSR-NonRes",C4)),IF(ISNUMBER(SEARCH("Academic",F4)),'Salary Tables'!$B$46*I4,0),IF(ISNUMBER(SEARCH("GSR-Adv",C4)),IF(ISNUMBER(SEARCH("Academic",F4)),('Salary Tables'!$B$43+'Salary Tables'!$B$46)*I4,0),0)))</f>
        <v>0</v>
      </c>
      <c r="M4" s="3">
        <f>Budget!F23*Budget!G23</f>
        <v>0</v>
      </c>
      <c r="N4" s="3">
        <f>Budget!H23*Budget!I23</f>
        <v>0</v>
      </c>
      <c r="O4" s="3">
        <f>Budget!J23*Budget!K23</f>
        <v>0</v>
      </c>
      <c r="P4" s="3">
        <f>Budget!L23*Budget!M23</f>
        <v>0</v>
      </c>
      <c r="Q4" s="3">
        <f>Budget!N23*Budget!O23</f>
        <v>0</v>
      </c>
      <c r="R4" s="3">
        <f>Budget!P23*Budget!Q23</f>
        <v>0</v>
      </c>
      <c r="S4" s="3">
        <f>Budget!R23*Budget!S23</f>
        <v>0</v>
      </c>
      <c r="T4" s="3">
        <f>Budget!T23*Budget!U23</f>
        <v>0</v>
      </c>
      <c r="U4" s="3">
        <f>Budget!V23*Budget!W23</f>
        <v>0</v>
      </c>
      <c r="V4" s="3">
        <f>Budget!X23*Budget!Y23</f>
        <v>0</v>
      </c>
      <c r="W4" s="39" t="str">
        <f ca="1">Budget!F22</f>
        <v/>
      </c>
      <c r="X4" s="39" t="str">
        <f ca="1">Budget!H22</f>
        <v/>
      </c>
      <c r="Y4" s="39" t="str">
        <f ca="1">Budget!J22</f>
        <v/>
      </c>
      <c r="Z4" s="39" t="str">
        <f ca="1">Budget!L22</f>
        <v/>
      </c>
      <c r="AA4" s="39" t="str">
        <f ca="1">Budget!N22</f>
        <v/>
      </c>
      <c r="AB4" s="39" t="str">
        <f ca="1">Budget!P22</f>
        <v/>
      </c>
      <c r="AC4" s="39" t="str">
        <f ca="1">Budget!R22</f>
        <v/>
      </c>
      <c r="AD4" s="39" t="str">
        <f ca="1">Budget!T22</f>
        <v/>
      </c>
      <c r="AE4" s="39" t="str">
        <f ca="1">Budget!V22</f>
        <v/>
      </c>
      <c r="AF4" s="39" t="str">
        <f ca="1">Budget!X22</f>
        <v/>
      </c>
      <c r="AG4" s="34" t="str">
        <f ca="1">Budget!F29</f>
        <v/>
      </c>
      <c r="AH4" s="34" t="str">
        <f ca="1">Budget!H29</f>
        <v/>
      </c>
      <c r="AI4" s="34" t="str">
        <f ca="1">Budget!J29</f>
        <v/>
      </c>
      <c r="AJ4" s="34" t="str">
        <f ca="1">Budget!L29</f>
        <v/>
      </c>
      <c r="AK4" s="34" t="str">
        <f ca="1">Budget!N29</f>
        <v/>
      </c>
      <c r="AL4" s="34" t="str">
        <f ca="1">Budget!P29</f>
        <v/>
      </c>
      <c r="AM4" s="34" t="str">
        <f ca="1">Budget!R29</f>
        <v/>
      </c>
      <c r="AN4" s="34" t="str">
        <f ca="1">Budget!T29</f>
        <v/>
      </c>
      <c r="AO4" s="34" t="str">
        <f ca="1">Budget!V29</f>
        <v/>
      </c>
      <c r="AP4" s="34" t="str">
        <f ca="1">Budget!X29</f>
        <v/>
      </c>
    </row>
    <row r="5" spans="1:42" ht="2.1" customHeight="1" x14ac:dyDescent="0.25">
      <c r="A5" s="78"/>
      <c r="B5" s="78"/>
      <c r="C5" s="78"/>
      <c r="D5" s="78"/>
      <c r="E5" s="78"/>
      <c r="F5" s="78"/>
      <c r="G5" s="79"/>
      <c r="H5" s="79"/>
      <c r="I5" s="78"/>
      <c r="J5" s="121"/>
      <c r="K5" s="121"/>
      <c r="L5" s="121"/>
      <c r="W5" s="39"/>
      <c r="X5" s="39"/>
      <c r="Y5" s="39"/>
      <c r="Z5" s="39"/>
      <c r="AA5" s="39"/>
      <c r="AB5" s="39"/>
      <c r="AC5" s="39"/>
      <c r="AD5" s="39"/>
      <c r="AE5" s="39"/>
      <c r="AF5" s="39"/>
    </row>
    <row r="6" spans="1:42" x14ac:dyDescent="0.25">
      <c r="A6" s="3" t="str">
        <f>IF(ISBLANK(Budget!A24),"",Budget!A24)</f>
        <v/>
      </c>
      <c r="B6" s="3" t="str">
        <f>IF(ISBLANK(Budget!B24),"",Budget!B24)</f>
        <v/>
      </c>
      <c r="C6" s="3" t="str">
        <f>IF(ISBLANK(Budget!D24),"",Budget!D24)</f>
        <v>Select One</v>
      </c>
      <c r="D6" s="3" t="str">
        <f>IF(ISBLANK(Budget!E24),"",Budget!E24)</f>
        <v>Select One</v>
      </c>
      <c r="E6" s="84" t="s">
        <v>232</v>
      </c>
      <c r="F6" s="84" t="s">
        <v>232</v>
      </c>
      <c r="G6" s="142" t="str">
        <f>IF(C6="Select One","",VLOOKUP(C6,'Salary Tables'!$A$2:$Z$506,D6+2,FALSE))</f>
        <v/>
      </c>
      <c r="H6" s="143"/>
      <c r="I6" s="84">
        <v>1</v>
      </c>
      <c r="J6" s="120">
        <f>IF(ISNUMBER(SEARCH("GSR-NonRes",C6)),IF(ISNUMBER(SEARCH("Academic",F6)),'Salary Tables'!$B$44*I6,0),0)</f>
        <v>0</v>
      </c>
      <c r="K6" s="120">
        <f>IF(ISNUMBER(SEARCH("GSR*",C6)),IF(ISNUMBER(SEARCH("Academic",F6)),'Salary Tables'!$B$45*I6,0),0)</f>
        <v>0</v>
      </c>
      <c r="L6" s="120">
        <f>IF(ISNUMBER(SEARCH("GSR-Res",C6)),IF(ISNUMBER(SEARCH("Academic",F6)),('Salary Tables'!$B$43+'Salary Tables'!$B$46)*I6,0),IF(ISNUMBER(SEARCH("GSR-NonRes",C6)),IF(ISNUMBER(SEARCH("Academic",F6)),'Salary Tables'!$B$46*I6,0),IF(ISNUMBER(SEARCH("GSR-Adv",C6)),IF(ISNUMBER(SEARCH("Academic",F6)),('Salary Tables'!$B$43+'Salary Tables'!$B$46)*I6,0),0)))</f>
        <v>0</v>
      </c>
      <c r="M6" s="3">
        <f>Budget!F25*Budget!G25</f>
        <v>0</v>
      </c>
      <c r="N6" s="3">
        <f>Budget!H25*Budget!I25</f>
        <v>0</v>
      </c>
      <c r="O6" s="3">
        <f>Budget!J25*Budget!K25</f>
        <v>0</v>
      </c>
      <c r="P6" s="3">
        <f>Budget!L25*Budget!M25</f>
        <v>0</v>
      </c>
      <c r="Q6" s="3">
        <f>Budget!N25*Budget!O25</f>
        <v>0</v>
      </c>
      <c r="R6" s="3">
        <f>Budget!P25*Budget!Q25</f>
        <v>0</v>
      </c>
      <c r="S6" s="3">
        <f>Budget!R25*Budget!S25</f>
        <v>0</v>
      </c>
      <c r="T6" s="3">
        <f>Budget!T25*Budget!U25</f>
        <v>0</v>
      </c>
      <c r="U6" s="3">
        <f>Budget!V25*Budget!W25</f>
        <v>0</v>
      </c>
      <c r="V6" s="3">
        <f>Budget!X25*Budget!Y25</f>
        <v>0</v>
      </c>
      <c r="W6" s="39" t="str">
        <f ca="1">Budget!F24</f>
        <v/>
      </c>
      <c r="X6" s="39" t="str">
        <f ca="1">Budget!H24</f>
        <v/>
      </c>
      <c r="Y6" s="39" t="str">
        <f ca="1">Budget!J24</f>
        <v/>
      </c>
      <c r="Z6" s="39" t="str">
        <f ca="1">Budget!L24</f>
        <v/>
      </c>
      <c r="AA6" s="39" t="str">
        <f ca="1">Budget!N24</f>
        <v/>
      </c>
      <c r="AB6" s="39" t="str">
        <f ca="1">Budget!P24</f>
        <v/>
      </c>
      <c r="AC6" s="39" t="str">
        <f ca="1">Budget!R24</f>
        <v/>
      </c>
      <c r="AD6" s="39" t="str">
        <f ca="1">Budget!T24</f>
        <v/>
      </c>
      <c r="AE6" s="39" t="str">
        <f ca="1">Budget!V24</f>
        <v/>
      </c>
      <c r="AF6" s="39" t="str">
        <f ca="1">Budget!X24</f>
        <v/>
      </c>
      <c r="AG6" s="34" t="str">
        <f ca="1">Budget!F31</f>
        <v/>
      </c>
      <c r="AH6" s="34" t="str">
        <f ca="1">Budget!H31</f>
        <v/>
      </c>
      <c r="AI6" s="34" t="str">
        <f ca="1">Budget!J31</f>
        <v/>
      </c>
      <c r="AJ6" s="34" t="str">
        <f ca="1">Budget!L31</f>
        <v/>
      </c>
      <c r="AK6" s="34" t="str">
        <f ca="1">Budget!N31</f>
        <v/>
      </c>
      <c r="AL6" s="34" t="str">
        <f ca="1">Budget!P31</f>
        <v/>
      </c>
      <c r="AM6" s="34" t="str">
        <f ca="1">Budget!R31</f>
        <v/>
      </c>
      <c r="AN6" s="34" t="str">
        <f ca="1">Budget!T31</f>
        <v/>
      </c>
      <c r="AO6" s="34" t="str">
        <f ca="1">Budget!V31</f>
        <v/>
      </c>
      <c r="AP6" s="34" t="str">
        <f ca="1">Budget!X31</f>
        <v/>
      </c>
    </row>
    <row r="7" spans="1:42" ht="2.1" customHeight="1" x14ac:dyDescent="0.25">
      <c r="A7" s="78"/>
      <c r="B7" s="78"/>
      <c r="C7" s="78"/>
      <c r="D7" s="78"/>
      <c r="E7" s="78"/>
      <c r="F7" s="78"/>
      <c r="G7" s="79"/>
      <c r="H7" s="79"/>
      <c r="I7" s="78"/>
      <c r="J7" s="79"/>
      <c r="K7" s="79"/>
      <c r="L7" s="79"/>
    </row>
    <row r="8" spans="1:42" x14ac:dyDescent="0.25">
      <c r="A8" s="42" t="s">
        <v>178</v>
      </c>
    </row>
    <row r="10" spans="1:42" x14ac:dyDescent="0.25">
      <c r="B10" s="96"/>
    </row>
    <row r="11" spans="1:42" x14ac:dyDescent="0.25">
      <c r="A11" s="95"/>
      <c r="B11" s="96"/>
      <c r="G11" s="34"/>
      <c r="H11" s="34"/>
    </row>
    <row r="12" spans="1:42" x14ac:dyDescent="0.25">
      <c r="A12" s="2"/>
      <c r="B12" s="96"/>
      <c r="G12" s="34"/>
      <c r="H12" s="34"/>
    </row>
    <row r="13" spans="1:42" x14ac:dyDescent="0.25">
      <c r="A13" s="2"/>
      <c r="G13" s="34"/>
      <c r="H13" s="34"/>
    </row>
    <row r="14" spans="1:42" x14ac:dyDescent="0.25">
      <c r="A14" s="2"/>
      <c r="B14" s="96"/>
      <c r="G14" s="34"/>
      <c r="H14" s="34"/>
    </row>
    <row r="15" spans="1:42" x14ac:dyDescent="0.25">
      <c r="A15" s="2"/>
      <c r="B15" s="96"/>
    </row>
    <row r="16" spans="1:42" x14ac:dyDescent="0.25">
      <c r="A16" s="2"/>
    </row>
    <row r="17" spans="1:2" x14ac:dyDescent="0.25">
      <c r="A17" s="2"/>
      <c r="B17" s="96"/>
    </row>
  </sheetData>
  <sheetProtection algorithmName="SHA-512" hashValue="hokYg5kviNAKwdVEliXsnu77Ak8t9khs2aOPdC8JimbEbjfLe56dc/U7GWTRbNbcLzjGZQrdDftHScgIcglxZQ==" saltValue="Td/SJxo7LjMqAeKG19Z6Ig==" spinCount="100000" sheet="1" objects="1" scenarios="1" selectLockedCells="1"/>
  <mergeCells count="4">
    <mergeCell ref="A1:A2"/>
    <mergeCell ref="M2:V2"/>
    <mergeCell ref="W2:AF2"/>
    <mergeCell ref="AG2:AP2"/>
  </mergeCells>
  <hyperlinks>
    <hyperlink ref="A1" location="Budget!A1" display="Back to Budget"/>
  </hyperlinks>
  <pageMargins left="0.75" right="0.75" top="1" bottom="1" header="0.5" footer="0.5"/>
  <pageSetup orientation="portrait" horizontalDpi="4294967292" verticalDpi="4294967292" r:id="rId1"/>
  <extLst>
    <ext xmlns:x14="http://schemas.microsoft.com/office/spreadsheetml/2009/9/main" uri="{CCE6A557-97BC-4b89-ADB6-D9C93CAAB3DF}">
      <x14:dataValidations xmlns:xm="http://schemas.microsoft.com/office/excel/2006/main" xWindow="744" yWindow="273" count="3">
        <x14:dataValidation type="list" allowBlank="1" showInputMessage="1" showErrorMessage="1">
          <x14:formula1>
            <xm:f>'Validation Data'!$I$3:$I$7</xm:f>
          </x14:formula1>
          <xm:sqref>F5 F7:F1048576</xm:sqref>
        </x14:dataValidation>
        <x14:dataValidation type="list" allowBlank="1" showInputMessage="1" showErrorMessage="1">
          <x14:formula1>
            <xm:f>'Validation Data'!$I$2:$I$7</xm:f>
          </x14:formula1>
          <xm:sqref>F4 F6</xm:sqref>
        </x14:dataValidation>
        <x14:dataValidation type="list" allowBlank="1" showInputMessage="1" showErrorMessage="1">
          <x14:formula1>
            <xm:f>'Validation Data'!$F$2:$F$19</xm:f>
          </x14:formula1>
          <xm:sqref>E4:E1048576</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C20"/>
  <sheetViews>
    <sheetView zoomScale="90" zoomScaleNormal="90" zoomScalePageLayoutView="90" workbookViewId="0">
      <selection activeCell="B12" sqref="B12"/>
    </sheetView>
  </sheetViews>
  <sheetFormatPr defaultColWidth="11" defaultRowHeight="15.75" x14ac:dyDescent="0.25"/>
  <cols>
    <col min="1" max="1" width="26.5" bestFit="1" customWidth="1"/>
    <col min="2" max="2" width="13.5" bestFit="1" customWidth="1"/>
    <col min="3" max="3" width="12.5" bestFit="1" customWidth="1"/>
  </cols>
  <sheetData>
    <row r="1" spans="1:3" x14ac:dyDescent="0.25">
      <c r="A1" s="87"/>
      <c r="B1" s="88" t="s">
        <v>74</v>
      </c>
      <c r="C1" s="88" t="s">
        <v>75</v>
      </c>
    </row>
    <row r="2" spans="1:3" x14ac:dyDescent="0.25">
      <c r="A2" s="89" t="s">
        <v>81</v>
      </c>
      <c r="B2" s="85" t="str">
        <f>Budget!F105</f>
        <v xml:space="preserve"> </v>
      </c>
      <c r="C2" s="85" t="str">
        <f>Budget!F105</f>
        <v xml:space="preserve"> </v>
      </c>
    </row>
    <row r="3" spans="1:3" x14ac:dyDescent="0.25">
      <c r="A3" s="89" t="s">
        <v>82</v>
      </c>
      <c r="B3" s="85">
        <v>0</v>
      </c>
      <c r="C3" s="85">
        <f>IF(C2=0.53, 0.535, IF(C2=0.535, 0.54,0))</f>
        <v>0</v>
      </c>
    </row>
    <row r="4" spans="1:3" x14ac:dyDescent="0.25">
      <c r="A4" s="89" t="s">
        <v>83</v>
      </c>
      <c r="B4" s="85">
        <v>0</v>
      </c>
      <c r="C4" s="85">
        <f>IF(C3=0.535, 0.54, 0)</f>
        <v>0</v>
      </c>
    </row>
    <row r="5" spans="1:3" x14ac:dyDescent="0.25">
      <c r="A5" s="89" t="s">
        <v>80</v>
      </c>
      <c r="B5" s="85">
        <v>0</v>
      </c>
      <c r="C5" s="85">
        <v>0</v>
      </c>
    </row>
    <row r="6" spans="1:3" x14ac:dyDescent="0.25">
      <c r="A6" s="89"/>
      <c r="B6" s="86"/>
      <c r="C6" s="86"/>
    </row>
    <row r="7" spans="1:3" x14ac:dyDescent="0.25">
      <c r="A7" s="90" t="s">
        <v>76</v>
      </c>
      <c r="B7" s="122">
        <f ca="1">Budget!F99</f>
        <v>0</v>
      </c>
      <c r="C7" s="122">
        <f ca="1">Budget!Z99</f>
        <v>0</v>
      </c>
    </row>
    <row r="8" spans="1:3" x14ac:dyDescent="0.25">
      <c r="A8" s="89" t="s">
        <v>77</v>
      </c>
      <c r="B8" s="122">
        <f ca="1">IF(Budget!D10="TC", Budget!F111, Budget!F103)</f>
        <v>0</v>
      </c>
      <c r="C8" s="122">
        <f ca="1">IF(C2=0.53, Budget!F103, IF(C2=0.535, Budget!F103, IF(Budget!D10="TC", Budget!Z111, Budget!Z103)))</f>
        <v>0</v>
      </c>
    </row>
    <row r="9" spans="1:3" x14ac:dyDescent="0.25">
      <c r="A9" s="89" t="s">
        <v>78</v>
      </c>
      <c r="B9" s="122">
        <v>0</v>
      </c>
      <c r="C9" s="122">
        <f>IF(C2=0.53, Budget!H103, IF(C2=0.535, Budget!Z103-Budget!F103, 0))</f>
        <v>0</v>
      </c>
    </row>
    <row r="10" spans="1:3" x14ac:dyDescent="0.25">
      <c r="A10" s="89" t="s">
        <v>79</v>
      </c>
      <c r="B10" s="122">
        <v>0</v>
      </c>
      <c r="C10" s="122">
        <f>IF(C2=0.53, Budget!Z103-Budget!F103-Budget!H103, 0)</f>
        <v>0</v>
      </c>
    </row>
    <row r="11" spans="1:3" x14ac:dyDescent="0.25">
      <c r="A11" s="90" t="s">
        <v>84</v>
      </c>
      <c r="B11" s="122">
        <f ca="1">Budget!F109</f>
        <v>0</v>
      </c>
      <c r="C11" s="122">
        <f ca="1">Budget!Z109</f>
        <v>0</v>
      </c>
    </row>
    <row r="12" spans="1:3" x14ac:dyDescent="0.25">
      <c r="A12" s="89" t="s">
        <v>85</v>
      </c>
      <c r="B12" s="123"/>
      <c r="C12" s="123"/>
    </row>
    <row r="13" spans="1:3" x14ac:dyDescent="0.25">
      <c r="A13" s="90" t="s">
        <v>86</v>
      </c>
      <c r="B13" s="122">
        <f ca="1">Budget!F111+B12</f>
        <v>0</v>
      </c>
      <c r="C13" s="122">
        <f ca="1">Budget!Z111+C12</f>
        <v>0</v>
      </c>
    </row>
    <row r="14" spans="1:3" x14ac:dyDescent="0.25">
      <c r="A14" s="91" t="s">
        <v>138</v>
      </c>
      <c r="B14" s="122">
        <f>Budget!Z113</f>
        <v>0</v>
      </c>
      <c r="C14" s="122">
        <f>Budget!Z113</f>
        <v>0</v>
      </c>
    </row>
    <row r="15" spans="1:3" x14ac:dyDescent="0.25">
      <c r="A15" s="90" t="s">
        <v>87</v>
      </c>
      <c r="B15" s="122">
        <f ca="1">Budget!F114+B12</f>
        <v>0</v>
      </c>
      <c r="C15" s="122">
        <f ca="1">Budget!Z114+C12</f>
        <v>0</v>
      </c>
    </row>
    <row r="18" spans="3:3" x14ac:dyDescent="0.25">
      <c r="C18" s="187"/>
    </row>
    <row r="20" spans="3:3" x14ac:dyDescent="0.25">
      <c r="C20" s="187"/>
    </row>
  </sheetData>
  <sheetProtection algorithmName="SHA-512" hashValue="R4HoJmS4oDrUHgZdTeisIrHrDgbGM5LSMwlP6LKVk9pWsfeYHR8suwlbmABAWDFeVy2J1TCwzBwG77FhN8+Qjg==" saltValue="+9duDAm/UUUzWQNk5RFW2g==" spinCount="100000" sheet="1" objects="1" scenarios="1" selectLockedCells="1"/>
  <phoneticPr fontId="9" type="noConversion"/>
  <pageMargins left="0.75" right="0.75" top="1" bottom="1" header="0.5" footer="0.5"/>
  <pageSetup orientation="portrait" horizontalDpi="4294967292" verticalDpi="4294967292"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G50"/>
  <sheetViews>
    <sheetView topLeftCell="A20" workbookViewId="0">
      <selection activeCell="G49" sqref="G49"/>
    </sheetView>
  </sheetViews>
  <sheetFormatPr defaultColWidth="11" defaultRowHeight="15.75" x14ac:dyDescent="0.25"/>
  <cols>
    <col min="1" max="1" width="5.875" customWidth="1"/>
    <col min="2" max="2" width="7" customWidth="1"/>
    <col min="3" max="3" width="43.625" bestFit="1" customWidth="1"/>
    <col min="4" max="6" width="10.875" customWidth="1"/>
    <col min="7" max="7" width="14.875" customWidth="1"/>
  </cols>
  <sheetData>
    <row r="1" spans="1:7" s="140" customFormat="1" ht="24.95" customHeight="1" x14ac:dyDescent="0.25">
      <c r="A1" s="490" t="s">
        <v>278</v>
      </c>
      <c r="B1" s="490"/>
      <c r="C1" s="490"/>
      <c r="D1" s="490"/>
      <c r="E1" s="490"/>
      <c r="F1" s="490"/>
      <c r="G1" s="490"/>
    </row>
    <row r="2" spans="1:7" x14ac:dyDescent="0.25">
      <c r="A2" s="462" t="s">
        <v>101</v>
      </c>
      <c r="B2" s="463"/>
      <c r="C2" s="464"/>
      <c r="D2" s="468" t="s">
        <v>88</v>
      </c>
      <c r="E2" s="468"/>
      <c r="F2" s="468"/>
      <c r="G2" s="486" t="s">
        <v>92</v>
      </c>
    </row>
    <row r="3" spans="1:7" x14ac:dyDescent="0.25">
      <c r="A3" s="465"/>
      <c r="B3" s="466"/>
      <c r="C3" s="467"/>
      <c r="D3" s="16" t="s">
        <v>89</v>
      </c>
      <c r="E3" s="16" t="s">
        <v>90</v>
      </c>
      <c r="F3" s="16" t="s">
        <v>91</v>
      </c>
      <c r="G3" s="487"/>
    </row>
    <row r="4" spans="1:7" x14ac:dyDescent="0.25">
      <c r="A4" s="18" t="s">
        <v>93</v>
      </c>
      <c r="B4" s="469" t="str">
        <f>IF(G4&gt;0,CONCATENATE((INDEX('Salary &amp; Fringe'!$A$1:$A$300,MATCH("Senior Person 1",'Salary &amp; Fringe'!$E$1:$E$300,FALSE),1))," ",(INDEX('Salary &amp; Fringe'!$B$1:$B$300,MATCH("Senior Person 1",'Salary &amp; Fringe'!$E$1:$E$300,FALSE),1))),"")</f>
        <v/>
      </c>
      <c r="C4" s="469"/>
      <c r="D4" s="70">
        <f>SUMIFS('Salary &amp; Fringe'!$M$1:'Salary &amp; Fringe'!$M$300,'Salary &amp; Fringe'!$E$1:'Salary &amp; Fringe'!$E$300,"Senior Person 1",'Salary &amp; Fringe'!$F$1:'Salary &amp; Fringe'!$F$300,"Calendar(12)")</f>
        <v>0</v>
      </c>
      <c r="E4" s="70">
        <f>SUMIFS('Salary &amp; Fringe'!$M$1:'Salary &amp; Fringe'!$M$300,'Salary &amp; Fringe'!$E$1:'Salary &amp; Fringe'!$E$300,"Senior Person 1",'Salary &amp; Fringe'!$F$1:'Salary &amp; Fringe'!$F$300,"Academic")</f>
        <v>0</v>
      </c>
      <c r="F4" s="70">
        <f>SUMIFS('Salary &amp; Fringe'!$M$1:'Salary &amp; Fringe'!$M$300,'Salary &amp; Fringe'!$E$1:'Salary &amp; Fringe'!$E$300,"Senior Person 1",'Salary &amp; Fringe'!$F$1:'Salary &amp; Fringe'!$F$300,"Summer")</f>
        <v>0</v>
      </c>
      <c r="G4" s="129">
        <f>SUMIF('Salary &amp; Fringe'!$E$1:$E$300,"Senior Person 1",'Salary &amp; Fringe'!$W$1:$W$300)</f>
        <v>0</v>
      </c>
    </row>
    <row r="5" spans="1:7" x14ac:dyDescent="0.25">
      <c r="A5" s="18" t="s">
        <v>94</v>
      </c>
      <c r="B5" s="469" t="str">
        <f>IF(G5&gt;0,CONCATENATE((INDEX('Salary &amp; Fringe'!$A$1:$A$300,MATCH("Senior Person 2",'Salary &amp; Fringe'!$E$1:$E$300,FALSE),1))," ",(INDEX('Salary &amp; Fringe'!$B$1:$B$300,MATCH("Senior Person 2",'Salary &amp; Fringe'!$E$1:$E$300,FALSE),1))),"")</f>
        <v/>
      </c>
      <c r="C5" s="469"/>
      <c r="D5" s="70">
        <f>SUMIFS('Salary &amp; Fringe'!$M$1:'Salary &amp; Fringe'!$M$300,'Salary &amp; Fringe'!$E$1:'Salary &amp; Fringe'!$E$300,"Senior Person 2",'Salary &amp; Fringe'!$F$1:'Salary &amp; Fringe'!$F$300,"Calendar(12)")</f>
        <v>0</v>
      </c>
      <c r="E5" s="70">
        <f>SUMIFS('Salary &amp; Fringe'!$M$1:'Salary &amp; Fringe'!$M$300,'Salary &amp; Fringe'!$E$1:'Salary &amp; Fringe'!$E$300,"Senior Person 2",'Salary &amp; Fringe'!$F$1:'Salary &amp; Fringe'!$F$300,"Academic")</f>
        <v>0</v>
      </c>
      <c r="F5" s="70">
        <f>SUMIFS('Salary &amp; Fringe'!$M$1:'Salary &amp; Fringe'!$M$300,'Salary &amp; Fringe'!$E$1:'Salary &amp; Fringe'!$E$300,"Senior Person 2",'Salary &amp; Fringe'!$F$1:'Salary &amp; Fringe'!$F$300,"Summer")</f>
        <v>0</v>
      </c>
      <c r="G5" s="129">
        <f>SUMIF('Salary &amp; Fringe'!$E$1:$E$300,"Senior Person 2",'Salary &amp; Fringe'!$W$1:$W$300)</f>
        <v>0</v>
      </c>
    </row>
    <row r="6" spans="1:7" x14ac:dyDescent="0.25">
      <c r="A6" s="18" t="s">
        <v>95</v>
      </c>
      <c r="B6" s="469" t="str">
        <f>IF(G6&gt;0,CONCATENATE((INDEX('Salary &amp; Fringe'!$A$1:$A$300,MATCH("Senior Person 3",'Salary &amp; Fringe'!$E$1:$E$300,FALSE),1))," ",(INDEX('Salary &amp; Fringe'!$B$1:$B$300,MATCH("Senior Person 3",'Salary &amp; Fringe'!$E$1:$E$300,FALSE),1))),"")</f>
        <v/>
      </c>
      <c r="C6" s="469"/>
      <c r="D6" s="70">
        <f>SUMIFS('Salary &amp; Fringe'!$M$1:'Salary &amp; Fringe'!$M$300,'Salary &amp; Fringe'!$E$1:'Salary &amp; Fringe'!$E$300,"Senior Person 3",'Salary &amp; Fringe'!$F$1:'Salary &amp; Fringe'!$F$300,"Calendar(12)")</f>
        <v>0</v>
      </c>
      <c r="E6" s="70">
        <f>SUMIFS('Salary &amp; Fringe'!$M$1:'Salary &amp; Fringe'!$M$300,'Salary &amp; Fringe'!$E$1:'Salary &amp; Fringe'!$E$300,"Senior Person 3",'Salary &amp; Fringe'!$F$1:'Salary &amp; Fringe'!$F$300,"Academic")</f>
        <v>0</v>
      </c>
      <c r="F6" s="70">
        <f>SUMIFS('Salary &amp; Fringe'!$M$1:'Salary &amp; Fringe'!$M$300,'Salary &amp; Fringe'!$E$1:'Salary &amp; Fringe'!$E$300,"Senior Person 3",'Salary &amp; Fringe'!$F$1:'Salary &amp; Fringe'!$F$300,"Summer")</f>
        <v>0</v>
      </c>
      <c r="G6" s="129">
        <f>SUMIF('Salary &amp; Fringe'!$E$1:$E$300,"Senior Person 3",'Salary &amp; Fringe'!$W$1:$W$300)</f>
        <v>0</v>
      </c>
    </row>
    <row r="7" spans="1:7" x14ac:dyDescent="0.25">
      <c r="A7" s="18" t="s">
        <v>96</v>
      </c>
      <c r="B7" s="469" t="str">
        <f>IF(G7&gt;0,CONCATENATE((INDEX('Salary &amp; Fringe'!$A$1:$A$300,MATCH("Senior Person 4",'Salary &amp; Fringe'!$E$1:$E$300,FALSE),1))," ",(INDEX('Salary &amp; Fringe'!$B$1:$B$300,MATCH("Senior Person 4",'Salary &amp; Fringe'!$E$1:$E$300,FALSE),1))),"")</f>
        <v/>
      </c>
      <c r="C7" s="469"/>
      <c r="D7" s="70">
        <f>SUMIFS('Salary &amp; Fringe'!$M$1:'Salary &amp; Fringe'!$M$300,'Salary &amp; Fringe'!$E$1:'Salary &amp; Fringe'!$E$300,"Senior Person 4",'Salary &amp; Fringe'!$F$1:'Salary &amp; Fringe'!$F$300,"Calendar(12)")</f>
        <v>0</v>
      </c>
      <c r="E7" s="70">
        <f>SUMIFS('Salary &amp; Fringe'!$M$1:'Salary &amp; Fringe'!$M$300,'Salary &amp; Fringe'!$E$1:'Salary &amp; Fringe'!$E$300,"Senior Person 4",'Salary &amp; Fringe'!$F$1:'Salary &amp; Fringe'!$F$300,"Academic")</f>
        <v>0</v>
      </c>
      <c r="F7" s="70">
        <f>SUMIFS('Salary &amp; Fringe'!$M$1:'Salary &amp; Fringe'!$M$300,'Salary &amp; Fringe'!$E$1:'Salary &amp; Fringe'!$E$300,"Senior Person 4",'Salary &amp; Fringe'!$F$1:'Salary &amp; Fringe'!$F$300,"Summer")</f>
        <v>0</v>
      </c>
      <c r="G7" s="129">
        <f>SUMIF('Salary &amp; Fringe'!$E$1:$E$300,"Senior Person 4",'Salary &amp; Fringe'!$W$1:$W$300)</f>
        <v>0</v>
      </c>
    </row>
    <row r="8" spans="1:7" x14ac:dyDescent="0.25">
      <c r="A8" s="18" t="s">
        <v>97</v>
      </c>
      <c r="B8" s="469" t="str">
        <f>IF(G8&gt;0,CONCATENATE((INDEX('Salary &amp; Fringe'!$A$1:$A$300,MATCH("Senior Person 5",'Salary &amp; Fringe'!$E$1:$E$300,FALSE),1))," ",(INDEX('Salary &amp; Fringe'!$B$1:$B$300,MATCH("Senior Person 5",'Salary &amp; Fringe'!$E$1:$E$300,FALSE),1))),"")</f>
        <v/>
      </c>
      <c r="C8" s="469"/>
      <c r="D8" s="70">
        <f>SUMIFS('Salary &amp; Fringe'!$M$1:'Salary &amp; Fringe'!$M$300,'Salary &amp; Fringe'!$E$1:'Salary &amp; Fringe'!$E$300,"Senior Person 5",'Salary &amp; Fringe'!$F$1:'Salary &amp; Fringe'!$F$300,"Calendar(12)")</f>
        <v>0</v>
      </c>
      <c r="E8" s="70">
        <f>SUMIFS('Salary &amp; Fringe'!$M$1:'Salary &amp; Fringe'!$M$300,'Salary &amp; Fringe'!$E$1:'Salary &amp; Fringe'!$E$300,"Senior Person 5",'Salary &amp; Fringe'!$F$1:'Salary &amp; Fringe'!$F$300,"Academic")</f>
        <v>0</v>
      </c>
      <c r="F8" s="70">
        <f>SUMIFS('Salary &amp; Fringe'!$M$1:'Salary &amp; Fringe'!$M$300,'Salary &amp; Fringe'!$E$1:'Salary &amp; Fringe'!$E$300,"Senior Person 5",'Salary &amp; Fringe'!$F$1:'Salary &amp; Fringe'!$F$300,"Summer")</f>
        <v>0</v>
      </c>
      <c r="G8" s="129">
        <f>SUMIF('Salary &amp; Fringe'!$E$1:$E$300,"Senior Person 5",'Salary &amp; Fringe'!$W$1:$W$300)</f>
        <v>0</v>
      </c>
    </row>
    <row r="9" spans="1:7" x14ac:dyDescent="0.25">
      <c r="A9" s="18" t="s">
        <v>98</v>
      </c>
      <c r="B9" s="72">
        <f>SUMIFS('Salary &amp; Fringe'!$I$1:$I$300,'Salary &amp; Fringe'!$E$1:$E$300,"Senior (Other)", 'Salary &amp; Fringe'!$M$1:'Salary &amp; Fringe'!$M$300, "&gt;0")</f>
        <v>0</v>
      </c>
      <c r="C9" s="19" t="s">
        <v>100</v>
      </c>
      <c r="D9" s="70">
        <f>SUMIFS('Salary &amp; Fringe'!$M$1:'Salary &amp; Fringe'!$M$300,'Salary &amp; Fringe'!$E$1:'Salary &amp; Fringe'!$E$300,"Senior (Other)",'Salary &amp; Fringe'!$F$1:'Salary &amp; Fringe'!$F$300,"Calendar(12)")</f>
        <v>0</v>
      </c>
      <c r="E9" s="70">
        <f>SUMIFS('Salary &amp; Fringe'!$M$1:'Salary &amp; Fringe'!$M$300,'Salary &amp; Fringe'!$E$1:'Salary &amp; Fringe'!$E$300,"Senior (Other)",'Salary &amp; Fringe'!$F$1:'Salary &amp; Fringe'!$F$300,"Academic")</f>
        <v>0</v>
      </c>
      <c r="F9" s="70">
        <f>SUMIFS('Salary &amp; Fringe'!$M$1:'Salary &amp; Fringe'!$M$300,'Salary &amp; Fringe'!$E$1:'Salary &amp; Fringe'!$E$300,"Senior (Other)",'Salary &amp; Fringe'!$F$1:'Salary &amp; Fringe'!$F$300,"Summer")</f>
        <v>0</v>
      </c>
      <c r="G9" s="129">
        <f>SUMIF('Salary &amp; Fringe'!$E$1:$E$300,"Senior (Other)",'Salary &amp; Fringe'!$W$1:$W$300)</f>
        <v>0</v>
      </c>
    </row>
    <row r="10" spans="1:7" x14ac:dyDescent="0.25">
      <c r="A10" s="18" t="s">
        <v>99</v>
      </c>
      <c r="B10" s="76">
        <f>(COUNTIF(G4:G8,"&gt;0")+B9)</f>
        <v>0</v>
      </c>
      <c r="C10" s="19" t="s">
        <v>128</v>
      </c>
      <c r="D10" s="37">
        <f>SUM(D4:D9)</f>
        <v>0</v>
      </c>
      <c r="E10" s="37">
        <f>SUM(E4:E9)</f>
        <v>0</v>
      </c>
      <c r="F10" s="37">
        <f>SUM(F4:F9)</f>
        <v>0</v>
      </c>
      <c r="G10" s="130">
        <f>SUM(G4:G9)</f>
        <v>0</v>
      </c>
    </row>
    <row r="11" spans="1:7" x14ac:dyDescent="0.25">
      <c r="A11" s="470" t="s">
        <v>102</v>
      </c>
      <c r="B11" s="471"/>
      <c r="C11" s="472"/>
      <c r="D11" s="11"/>
      <c r="E11" s="11"/>
      <c r="F11" s="11"/>
      <c r="G11" s="131"/>
    </row>
    <row r="12" spans="1:7" x14ac:dyDescent="0.25">
      <c r="A12" s="18" t="s">
        <v>93</v>
      </c>
      <c r="B12" s="72">
        <f>SUMIFS('Salary &amp; Fringe'!$I$1:$I$300,'Salary &amp; Fringe'!$E$1:$E$300,"Postdoc", 'Salary &amp; Fringe'!$M$1:'Salary &amp; Fringe'!$M$300, "&gt;0")</f>
        <v>0</v>
      </c>
      <c r="C12" s="4" t="s">
        <v>103</v>
      </c>
      <c r="D12" s="71">
        <f>SUMIF('Salary &amp; Fringe'!$E$1:$E$300,"Postdoc",'Salary &amp; Fringe'!$M$1:$M$300)</f>
        <v>0</v>
      </c>
      <c r="E12" s="70">
        <v>0</v>
      </c>
      <c r="F12" s="70">
        <v>0</v>
      </c>
      <c r="G12" s="129">
        <f>SUMIF('Salary &amp; Fringe'!$E$1:$E$300,"Postdoc",'Salary &amp; Fringe'!$W$1:$W$300)</f>
        <v>0</v>
      </c>
    </row>
    <row r="13" spans="1:7" x14ac:dyDescent="0.25">
      <c r="A13" s="18" t="s">
        <v>94</v>
      </c>
      <c r="B13" s="72">
        <f>SUMIFS('Salary &amp; Fringe'!$I$1:$I$300,'Salary &amp; Fringe'!$E$1:$E$300,"Professional (Other)", 'Salary &amp; Fringe'!$M$1:'Salary &amp; Fringe'!$M$300, "&gt;0")</f>
        <v>0</v>
      </c>
      <c r="C13" s="4" t="s">
        <v>104</v>
      </c>
      <c r="D13" s="71">
        <f>SUMIF('Salary &amp; Fringe'!$E$1:$E$300,"Professional (Other)",'Salary &amp; Fringe'!$M$1:$M$300)</f>
        <v>0</v>
      </c>
      <c r="E13" s="70">
        <v>0</v>
      </c>
      <c r="F13" s="70">
        <v>0</v>
      </c>
      <c r="G13" s="129">
        <f>SUMIF('Salary &amp; Fringe'!$E$1:$E$300,"Professional (Other)",'Salary &amp; Fringe'!$W$1:$W$300)</f>
        <v>0</v>
      </c>
    </row>
    <row r="14" spans="1:7" x14ac:dyDescent="0.25">
      <c r="A14" s="18" t="s">
        <v>95</v>
      </c>
      <c r="B14" s="139"/>
      <c r="C14" s="473" t="s">
        <v>105</v>
      </c>
      <c r="D14" s="473"/>
      <c r="E14" s="473"/>
      <c r="F14" s="473"/>
      <c r="G14" s="129">
        <f>SUMIF('Salary &amp; Fringe'!$E$1:$E$300,"Grad",'Salary &amp; Fringe'!$W$1:$W$300)</f>
        <v>0</v>
      </c>
    </row>
    <row r="15" spans="1:7" x14ac:dyDescent="0.25">
      <c r="A15" s="18" t="s">
        <v>96</v>
      </c>
      <c r="B15" s="233"/>
      <c r="C15" s="474" t="s">
        <v>106</v>
      </c>
      <c r="D15" s="474"/>
      <c r="E15" s="474"/>
      <c r="F15" s="474"/>
      <c r="G15" s="129">
        <f>SUMIF('Salary &amp; Fringe'!$E$1:$E$300,"Undergrad",'Salary &amp; Fringe'!$W$1:$W$300)</f>
        <v>0</v>
      </c>
    </row>
    <row r="16" spans="1:7" x14ac:dyDescent="0.25">
      <c r="A16" s="18" t="s">
        <v>97</v>
      </c>
      <c r="B16" s="72">
        <f>SUMIFS('Salary &amp; Fringe'!$I$1:$I$300,'Salary &amp; Fringe'!$E$1:$E$300,"Clerical", 'Salary &amp; Fringe'!$M$1:'Salary &amp; Fringe'!$M$300, "&gt;0")</f>
        <v>0</v>
      </c>
      <c r="C16" s="473" t="s">
        <v>107</v>
      </c>
      <c r="D16" s="473"/>
      <c r="E16" s="473"/>
      <c r="F16" s="473"/>
      <c r="G16" s="129">
        <f>SUMIF('Salary &amp; Fringe'!$E$1:$E$300,"Clerical",'Salary &amp; Fringe'!$W$1:$W$300)</f>
        <v>0</v>
      </c>
    </row>
    <row r="17" spans="1:7" x14ac:dyDescent="0.25">
      <c r="A17" s="18" t="s">
        <v>98</v>
      </c>
      <c r="B17" s="72">
        <f>SUMIFS('Salary &amp; Fringe'!$I$1:$I$300,'Salary &amp; Fringe'!$E$1:$E$300,"Other*", 'Salary &amp; Fringe'!$M$1:'Salary &amp; Fringe'!$M$300, "&gt;0")</f>
        <v>0</v>
      </c>
      <c r="C17" s="474" t="s">
        <v>53</v>
      </c>
      <c r="D17" s="474"/>
      <c r="E17" s="474"/>
      <c r="F17" s="474"/>
      <c r="G17" s="129">
        <f>SUMIF('Salary &amp; Fringe'!$E$1:$E$300,"Other*",'Salary &amp; Fringe'!$W$1:$W$300)</f>
        <v>0</v>
      </c>
    </row>
    <row r="18" spans="1:7" x14ac:dyDescent="0.25">
      <c r="A18" s="475" t="s">
        <v>108</v>
      </c>
      <c r="B18" s="476"/>
      <c r="C18" s="476"/>
      <c r="D18" s="476"/>
      <c r="E18" s="476"/>
      <c r="F18" s="477"/>
      <c r="G18" s="130">
        <f>SUM(G10,G12:G17)</f>
        <v>0</v>
      </c>
    </row>
    <row r="19" spans="1:7" x14ac:dyDescent="0.25">
      <c r="A19" s="470" t="s">
        <v>109</v>
      </c>
      <c r="B19" s="471"/>
      <c r="C19" s="471"/>
      <c r="D19" s="471"/>
      <c r="E19" s="471"/>
      <c r="F19" s="472"/>
      <c r="G19" s="130">
        <f ca="1">TotalFringe1</f>
        <v>0</v>
      </c>
    </row>
    <row r="20" spans="1:7" x14ac:dyDescent="0.25">
      <c r="A20" s="475" t="s">
        <v>110</v>
      </c>
      <c r="B20" s="476"/>
      <c r="C20" s="476"/>
      <c r="D20" s="476"/>
      <c r="E20" s="476"/>
      <c r="F20" s="477"/>
      <c r="G20" s="130">
        <f ca="1">G18+G19</f>
        <v>0</v>
      </c>
    </row>
    <row r="21" spans="1:7" x14ac:dyDescent="0.25">
      <c r="A21" s="478" t="s">
        <v>111</v>
      </c>
      <c r="B21" s="479"/>
      <c r="C21" s="479"/>
      <c r="D21" s="479"/>
      <c r="E21" s="479"/>
      <c r="F21" s="480"/>
      <c r="G21" s="130"/>
    </row>
    <row r="22" spans="1:7" x14ac:dyDescent="0.25">
      <c r="A22" s="481" t="str">
        <f>IF(ISBLANK(Budget!F47),"",Budget!A47)</f>
        <v/>
      </c>
      <c r="B22" s="481"/>
      <c r="C22" s="481"/>
      <c r="D22" s="482" t="str">
        <f>IF(Budget!F47&gt;0,Budget!F47,"")</f>
        <v/>
      </c>
      <c r="E22" s="482"/>
      <c r="F22" s="482"/>
      <c r="G22" s="132"/>
    </row>
    <row r="23" spans="1:7" x14ac:dyDescent="0.25">
      <c r="A23" s="481" t="str">
        <f>IF(ISBLANK(Budget!F48),"",Budget!A48)</f>
        <v/>
      </c>
      <c r="B23" s="481"/>
      <c r="C23" s="481"/>
      <c r="D23" s="482" t="str">
        <f>IF(Budget!F48&gt;0,Budget!F48,"")</f>
        <v/>
      </c>
      <c r="E23" s="482"/>
      <c r="F23" s="482"/>
      <c r="G23" s="133"/>
    </row>
    <row r="24" spans="1:7" x14ac:dyDescent="0.25">
      <c r="A24" s="481" t="str">
        <f>IF(ISBLANK(Budget!F49),"",Budget!A49)</f>
        <v/>
      </c>
      <c r="B24" s="481"/>
      <c r="C24" s="481"/>
      <c r="D24" s="482" t="str">
        <f>IF(Budget!F49&gt;0,Budget!F49,"")</f>
        <v/>
      </c>
      <c r="E24" s="482"/>
      <c r="F24" s="482"/>
      <c r="G24" s="133"/>
    </row>
    <row r="25" spans="1:7" x14ac:dyDescent="0.25">
      <c r="A25" s="481" t="str">
        <f>IF(ISBLANK(Budget!F50),"",Budget!A50)</f>
        <v/>
      </c>
      <c r="B25" s="481"/>
      <c r="C25" s="481"/>
      <c r="D25" s="482" t="str">
        <f>IF(Budget!F50&gt;0,Budget!F50,"")</f>
        <v/>
      </c>
      <c r="E25" s="482"/>
      <c r="F25" s="482"/>
      <c r="G25" s="133"/>
    </row>
    <row r="26" spans="1:7" x14ac:dyDescent="0.25">
      <c r="A26" s="481" t="str">
        <f>IF(ISBLANK(Budget!F51),"",Budget!A51)</f>
        <v/>
      </c>
      <c r="B26" s="481"/>
      <c r="C26" s="481"/>
      <c r="D26" s="482" t="str">
        <f>IF(Budget!F51&gt;0,Budget!F51,"")</f>
        <v/>
      </c>
      <c r="E26" s="482"/>
      <c r="F26" s="482"/>
      <c r="G26" s="133"/>
    </row>
    <row r="27" spans="1:7" x14ac:dyDescent="0.25">
      <c r="A27" s="475" t="s">
        <v>58</v>
      </c>
      <c r="B27" s="476"/>
      <c r="C27" s="476"/>
      <c r="D27" s="476"/>
      <c r="E27" s="476"/>
      <c r="F27" s="477"/>
      <c r="G27" s="130">
        <f>Budget!F52</f>
        <v>0</v>
      </c>
    </row>
    <row r="28" spans="1:7" x14ac:dyDescent="0.25">
      <c r="A28" s="489" t="s">
        <v>112</v>
      </c>
      <c r="B28" s="489"/>
      <c r="C28" s="489"/>
      <c r="D28" s="489"/>
      <c r="E28" s="489"/>
      <c r="F28" s="489"/>
      <c r="G28" s="134"/>
    </row>
    <row r="29" spans="1:7" x14ac:dyDescent="0.25">
      <c r="A29" s="481" t="s">
        <v>203</v>
      </c>
      <c r="B29" s="481"/>
      <c r="C29" s="481"/>
      <c r="D29" s="481"/>
      <c r="E29" s="481"/>
      <c r="F29" s="481"/>
      <c r="G29" s="130">
        <f>Budget!F39</f>
        <v>0</v>
      </c>
    </row>
    <row r="30" spans="1:7" x14ac:dyDescent="0.25">
      <c r="A30" s="488" t="s">
        <v>113</v>
      </c>
      <c r="B30" s="488"/>
      <c r="C30" s="488"/>
      <c r="D30" s="488"/>
      <c r="E30" s="488"/>
      <c r="F30" s="488"/>
      <c r="G30" s="130">
        <f>Budget!F44</f>
        <v>0</v>
      </c>
    </row>
    <row r="31" spans="1:7" x14ac:dyDescent="0.25">
      <c r="A31" s="478" t="s">
        <v>114</v>
      </c>
      <c r="B31" s="479"/>
      <c r="C31" s="479"/>
      <c r="D31" s="498"/>
      <c r="E31" s="498"/>
      <c r="F31" s="499"/>
      <c r="G31" s="135"/>
    </row>
    <row r="32" spans="1:7" x14ac:dyDescent="0.25">
      <c r="A32" s="474" t="s">
        <v>115</v>
      </c>
      <c r="B32" s="474"/>
      <c r="C32" s="44">
        <f>SUMIF(Budget!$A$2:$A$504,"PS Stipends",Budget!$F$2:$F$504)</f>
        <v>0</v>
      </c>
      <c r="D32" s="20"/>
      <c r="E32" s="21"/>
      <c r="F32" s="21"/>
      <c r="G32" s="136"/>
    </row>
    <row r="33" spans="1:7" x14ac:dyDescent="0.25">
      <c r="A33" s="474" t="s">
        <v>116</v>
      </c>
      <c r="B33" s="474"/>
      <c r="C33" s="44">
        <f>SUMIF(Budget!$A$2:$A$504,"PS Travel",Budget!$F$2:$F$504)</f>
        <v>0</v>
      </c>
      <c r="D33" s="22"/>
      <c r="E33" s="23"/>
      <c r="F33" s="23"/>
      <c r="G33" s="136"/>
    </row>
    <row r="34" spans="1:7" x14ac:dyDescent="0.25">
      <c r="A34" s="474" t="s">
        <v>117</v>
      </c>
      <c r="B34" s="474"/>
      <c r="C34" s="44">
        <f>SUMIF(Budget!$A$2:$A$504,"PS Subsistence",Budget!$F$2:$F$504)</f>
        <v>0</v>
      </c>
      <c r="D34" s="22"/>
      <c r="E34" s="23"/>
      <c r="F34" s="23"/>
      <c r="G34" s="136"/>
    </row>
    <row r="35" spans="1:7" x14ac:dyDescent="0.25">
      <c r="A35" s="474" t="s">
        <v>118</v>
      </c>
      <c r="B35" s="474"/>
      <c r="C35" s="44">
        <f>SUMIF(Budget!$A$2:$A$504,"PS Other",Budget!$F$2:$F$504)</f>
        <v>0</v>
      </c>
      <c r="D35" s="12"/>
      <c r="E35" s="13"/>
      <c r="F35" s="13"/>
      <c r="G35" s="137"/>
    </row>
    <row r="36" spans="1:7" x14ac:dyDescent="0.25">
      <c r="A36" s="503"/>
      <c r="B36" s="504"/>
      <c r="C36" s="500" t="s">
        <v>59</v>
      </c>
      <c r="D36" s="501"/>
      <c r="E36" s="501"/>
      <c r="F36" s="502"/>
      <c r="G36" s="130">
        <f>Budget!F57</f>
        <v>0</v>
      </c>
    </row>
    <row r="37" spans="1:7" x14ac:dyDescent="0.25">
      <c r="A37" s="489" t="s">
        <v>119</v>
      </c>
      <c r="B37" s="489"/>
      <c r="C37" s="489"/>
      <c r="D37" s="489"/>
      <c r="E37" s="489"/>
      <c r="F37" s="489"/>
      <c r="G37" s="134"/>
    </row>
    <row r="38" spans="1:7" x14ac:dyDescent="0.25">
      <c r="A38" s="474" t="s">
        <v>120</v>
      </c>
      <c r="B38" s="474"/>
      <c r="C38" s="474"/>
      <c r="D38" s="474"/>
      <c r="E38" s="474"/>
      <c r="F38" s="474"/>
      <c r="G38" s="138">
        <f>SUMIF(Budget!$A$2:$A$504,"Materials &amp; Supplies",Budget!$F$2:$F$504)</f>
        <v>0</v>
      </c>
    </row>
    <row r="39" spans="1:7" x14ac:dyDescent="0.25">
      <c r="A39" s="474" t="s">
        <v>121</v>
      </c>
      <c r="B39" s="474"/>
      <c r="C39" s="474"/>
      <c r="D39" s="474"/>
      <c r="E39" s="474"/>
      <c r="F39" s="474"/>
      <c r="G39" s="138">
        <f>SUMIF(Budget!$A$2:$A$504,"Publication Costs/Page Charges",Budget!$F$2:$F$504)</f>
        <v>0</v>
      </c>
    </row>
    <row r="40" spans="1:7" x14ac:dyDescent="0.25">
      <c r="A40" s="474" t="s">
        <v>122</v>
      </c>
      <c r="B40" s="474"/>
      <c r="C40" s="474"/>
      <c r="D40" s="474"/>
      <c r="E40" s="474"/>
      <c r="F40" s="474"/>
      <c r="G40" s="138">
        <f>SUMIF(Budget!$A$2:$A$504,"Consultant Services",Budget!$F$2:$F$504)</f>
        <v>0</v>
      </c>
    </row>
    <row r="41" spans="1:7" x14ac:dyDescent="0.25">
      <c r="A41" s="474" t="s">
        <v>123</v>
      </c>
      <c r="B41" s="474"/>
      <c r="C41" s="474"/>
      <c r="D41" s="474"/>
      <c r="E41" s="474"/>
      <c r="F41" s="474"/>
      <c r="G41" s="138">
        <f>SUMIF(Budget!$A$2:$A$504,"Computer (ADPE) Services",Budget!$F$2:$F$504)</f>
        <v>0</v>
      </c>
    </row>
    <row r="42" spans="1:7" x14ac:dyDescent="0.25">
      <c r="A42" s="474" t="s">
        <v>124</v>
      </c>
      <c r="B42" s="474"/>
      <c r="C42" s="474"/>
      <c r="D42" s="474"/>
      <c r="E42" s="474"/>
      <c r="F42" s="474"/>
      <c r="G42" s="138">
        <f ca="1">TotalSubs1+TotalMulti1</f>
        <v>0</v>
      </c>
    </row>
    <row r="43" spans="1:7" x14ac:dyDescent="0.25">
      <c r="A43" s="474" t="s">
        <v>125</v>
      </c>
      <c r="B43" s="474"/>
      <c r="C43" s="474"/>
      <c r="D43" s="474"/>
      <c r="E43" s="474"/>
      <c r="F43" s="474"/>
      <c r="G43" s="138">
        <f>SUMIF(Budget!$A$2:$A$504,"Vendor Contract",Budget!$F$2:$F$504)+SUMIF(Budget!$A$2:$A$504,"Service Agreement",Budget!$F$2:$F$504)+SUMIF(Budget!$A$2:$A$504,"Space Rentals",Budget!$F$2:$F$504)+SUMIF(Budget!$A$2:$A$504,"Other*",Budget!$F$2:$F$504)+SUMIF(Budget!$A$2:$A$504,"Equipment or facility*",Budget!$F$2:$F$504)+TotalGSR1</f>
        <v>0</v>
      </c>
    </row>
    <row r="44" spans="1:7" x14ac:dyDescent="0.25">
      <c r="A44" s="497" t="s">
        <v>127</v>
      </c>
      <c r="B44" s="497"/>
      <c r="C44" s="497"/>
      <c r="D44" s="497"/>
      <c r="E44" s="497"/>
      <c r="F44" s="497"/>
      <c r="G44" s="130">
        <f ca="1">SUM(G38:G43)</f>
        <v>0</v>
      </c>
    </row>
    <row r="45" spans="1:7" x14ac:dyDescent="0.25">
      <c r="A45" s="489" t="s">
        <v>126</v>
      </c>
      <c r="B45" s="489"/>
      <c r="C45" s="489"/>
      <c r="D45" s="489"/>
      <c r="E45" s="489"/>
      <c r="F45" s="489"/>
      <c r="G45" s="130">
        <f ca="1">SUM(G20+G27+G29+G30+G36+G44)</f>
        <v>0</v>
      </c>
    </row>
    <row r="46" spans="1:7" x14ac:dyDescent="0.25">
      <c r="A46" s="491" t="s">
        <v>129</v>
      </c>
      <c r="B46" s="492"/>
      <c r="C46" s="492"/>
      <c r="D46" s="492"/>
      <c r="E46" s="492"/>
      <c r="F46" s="493"/>
      <c r="G46" s="134"/>
    </row>
    <row r="47" spans="1:7" x14ac:dyDescent="0.25">
      <c r="C47" s="57" t="str">
        <f>Budget!F105</f>
        <v xml:space="preserve"> </v>
      </c>
      <c r="D47" s="3" t="s">
        <v>130</v>
      </c>
      <c r="E47" s="45">
        <f ca="1">Budget!F101</f>
        <v>0</v>
      </c>
      <c r="F47" t="s">
        <v>55</v>
      </c>
      <c r="G47" s="130">
        <f ca="1">Budget!F109</f>
        <v>0</v>
      </c>
    </row>
    <row r="48" spans="1:7" x14ac:dyDescent="0.25">
      <c r="A48" s="478" t="s">
        <v>131</v>
      </c>
      <c r="B48" s="479"/>
      <c r="C48" s="479"/>
      <c r="D48" s="479"/>
      <c r="E48" s="479"/>
      <c r="F48" s="480"/>
      <c r="G48" s="130">
        <f ca="1">G45+G47</f>
        <v>0</v>
      </c>
    </row>
    <row r="49" spans="1:7" x14ac:dyDescent="0.25">
      <c r="A49" s="494" t="s">
        <v>213</v>
      </c>
      <c r="B49" s="495"/>
      <c r="C49" s="495"/>
      <c r="D49" s="495"/>
      <c r="E49" s="495"/>
      <c r="F49" s="496"/>
      <c r="G49" s="141"/>
    </row>
    <row r="50" spans="1:7" x14ac:dyDescent="0.25">
      <c r="A50" s="483" t="s">
        <v>132</v>
      </c>
      <c r="B50" s="484"/>
      <c r="C50" s="484"/>
      <c r="D50" s="484"/>
      <c r="E50" s="484"/>
      <c r="F50" s="485"/>
      <c r="G50" s="138">
        <f ca="1">IF(G49&gt;0, G48-G49, G48)</f>
        <v>0</v>
      </c>
    </row>
  </sheetData>
  <sheetProtection algorithmName="SHA-512" hashValue="qoMplJGmaP6PoWqVlBY5MgRq0YHHydnSRkQTWE0cqnWk3ha5m4gs1N6oIAw0KbZpBEnEj9aVjkzsiRO8+uEpGA==" saltValue="JTta9vCtR9ivUvP2KkNLug==" spinCount="100000" sheet="1" objects="1" scenarios="1" selectLockedCells="1"/>
  <mergeCells count="52">
    <mergeCell ref="A1:G1"/>
    <mergeCell ref="A45:F45"/>
    <mergeCell ref="A46:F46"/>
    <mergeCell ref="A48:F48"/>
    <mergeCell ref="A49:F49"/>
    <mergeCell ref="A25:C25"/>
    <mergeCell ref="A44:F44"/>
    <mergeCell ref="A35:B35"/>
    <mergeCell ref="A31:F31"/>
    <mergeCell ref="C36:F36"/>
    <mergeCell ref="A36:B36"/>
    <mergeCell ref="A37:F37"/>
    <mergeCell ref="A38:F38"/>
    <mergeCell ref="A32:B32"/>
    <mergeCell ref="A33:B33"/>
    <mergeCell ref="A34:B34"/>
    <mergeCell ref="A50:F50"/>
    <mergeCell ref="G2:G3"/>
    <mergeCell ref="A43:F43"/>
    <mergeCell ref="A42:F42"/>
    <mergeCell ref="A41:F41"/>
    <mergeCell ref="A40:F40"/>
    <mergeCell ref="A39:F39"/>
    <mergeCell ref="A29:F29"/>
    <mergeCell ref="A30:F30"/>
    <mergeCell ref="A28:F28"/>
    <mergeCell ref="A27:F27"/>
    <mergeCell ref="D22:F22"/>
    <mergeCell ref="A23:C23"/>
    <mergeCell ref="D23:F23"/>
    <mergeCell ref="A24:C24"/>
    <mergeCell ref="D24:F24"/>
    <mergeCell ref="A20:F20"/>
    <mergeCell ref="A21:F21"/>
    <mergeCell ref="A22:C22"/>
    <mergeCell ref="A26:C26"/>
    <mergeCell ref="D26:F26"/>
    <mergeCell ref="D25:F25"/>
    <mergeCell ref="A2:C3"/>
    <mergeCell ref="D2:F2"/>
    <mergeCell ref="B4:C4"/>
    <mergeCell ref="B5:C5"/>
    <mergeCell ref="A19:F19"/>
    <mergeCell ref="B6:C6"/>
    <mergeCell ref="B7:C7"/>
    <mergeCell ref="B8:C8"/>
    <mergeCell ref="A11:C11"/>
    <mergeCell ref="C14:F14"/>
    <mergeCell ref="C15:F15"/>
    <mergeCell ref="C16:F16"/>
    <mergeCell ref="C17:F17"/>
    <mergeCell ref="A18:F18"/>
  </mergeCells>
  <phoneticPr fontId="9" type="noConversion"/>
  <pageMargins left="0.75" right="0.75" top="1" bottom="1" header="0.5" footer="0.5"/>
  <pageSetup scale="80" orientation="portrait" horizontalDpi="4294967292" verticalDpi="4294967292" r:id="rId1"/>
  <rowBreaks count="1" manualBreakCount="1">
    <brk id="50" max="16383" man="1"/>
  </rowBreaks>
  <colBreaks count="1" manualBreakCount="1">
    <brk id="7" max="1048575" man="1"/>
  </colBreaks>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G50"/>
  <sheetViews>
    <sheetView topLeftCell="A22" workbookViewId="0">
      <selection activeCell="G49" sqref="G49"/>
    </sheetView>
  </sheetViews>
  <sheetFormatPr defaultColWidth="11" defaultRowHeight="15.75" x14ac:dyDescent="0.25"/>
  <cols>
    <col min="1" max="1" width="5.875" customWidth="1"/>
    <col min="2" max="2" width="7" customWidth="1"/>
    <col min="3" max="3" width="43.625" customWidth="1"/>
    <col min="4" max="6" width="10.875" customWidth="1"/>
    <col min="7" max="7" width="14.625" customWidth="1"/>
  </cols>
  <sheetData>
    <row r="1" spans="1:7" s="140" customFormat="1" ht="24.95" customHeight="1" x14ac:dyDescent="0.25">
      <c r="A1" s="490" t="s">
        <v>277</v>
      </c>
      <c r="B1" s="490"/>
      <c r="C1" s="490"/>
      <c r="D1" s="490"/>
      <c r="E1" s="490"/>
      <c r="F1" s="490"/>
      <c r="G1" s="490"/>
    </row>
    <row r="2" spans="1:7" x14ac:dyDescent="0.25">
      <c r="A2" s="505" t="s">
        <v>101</v>
      </c>
      <c r="B2" s="506"/>
      <c r="C2" s="507"/>
      <c r="D2" s="468" t="s">
        <v>88</v>
      </c>
      <c r="E2" s="468"/>
      <c r="F2" s="468"/>
      <c r="G2" s="486" t="s">
        <v>92</v>
      </c>
    </row>
    <row r="3" spans="1:7" x14ac:dyDescent="0.25">
      <c r="A3" s="508"/>
      <c r="B3" s="509"/>
      <c r="C3" s="510"/>
      <c r="D3" s="67" t="s">
        <v>89</v>
      </c>
      <c r="E3" s="67" t="s">
        <v>90</v>
      </c>
      <c r="F3" s="67" t="s">
        <v>91</v>
      </c>
      <c r="G3" s="487"/>
    </row>
    <row r="4" spans="1:7" x14ac:dyDescent="0.25">
      <c r="A4" s="18" t="s">
        <v>93</v>
      </c>
      <c r="B4" s="469" t="str">
        <f>IF(G4&gt;0,CONCATENATE((INDEX('Salary &amp; Fringe'!$A$1:$A$300,MATCH("Senior Person 1",'Salary &amp; Fringe'!$E$1:$E$300,FALSE),1))," ",(INDEX('Salary &amp; Fringe'!$B$1:$B$300,MATCH("Senior Person 1",'Salary &amp; Fringe'!$E$1:$E$300,FALSE),1))),"")</f>
        <v/>
      </c>
      <c r="C4" s="469"/>
      <c r="D4" s="70">
        <f>SUMIFS('Salary &amp; Fringe'!$N$1:'Salary &amp; Fringe'!$N$300,'Salary &amp; Fringe'!$E$1:'Salary &amp; Fringe'!$E$300,"Senior Person 1",'Salary &amp; Fringe'!$F$1:'Salary &amp; Fringe'!$F$300,"Calendar(12)")</f>
        <v>0</v>
      </c>
      <c r="E4" s="70">
        <f>SUMIFS('Salary &amp; Fringe'!$N$1:'Salary &amp; Fringe'!$N$300,'Salary &amp; Fringe'!$E$1:'Salary &amp; Fringe'!$E$300,"Senior Person 1",'Salary &amp; Fringe'!$F$1:'Salary &amp; Fringe'!$F$300,"Academic")</f>
        <v>0</v>
      </c>
      <c r="F4" s="70">
        <f>SUMIFS('Salary &amp; Fringe'!$N$1:'Salary &amp; Fringe'!$N$300,'Salary &amp; Fringe'!$E$1:'Salary &amp; Fringe'!$E$300,"Senior Person 1",'Salary &amp; Fringe'!$F$1:'Salary &amp; Fringe'!$F$300,"Summer")</f>
        <v>0</v>
      </c>
      <c r="G4" s="129">
        <f>SUMIF('Salary &amp; Fringe'!$E$1:$E$300,"Senior Person 1",'Salary &amp; Fringe'!$X$1:$X$300)</f>
        <v>0</v>
      </c>
    </row>
    <row r="5" spans="1:7" x14ac:dyDescent="0.25">
      <c r="A5" s="18" t="s">
        <v>94</v>
      </c>
      <c r="B5" s="469" t="str">
        <f>IF(G5&gt;0,CONCATENATE((INDEX('Salary &amp; Fringe'!$A$1:$A$300,MATCH("Senior Person 2",'Salary &amp; Fringe'!$E$1:$E$300,FALSE),1))," ",(INDEX('Salary &amp; Fringe'!$B$1:$B$300,MATCH("Senior Person 2",'Salary &amp; Fringe'!$E$1:$E$300,FALSE),1))),"")</f>
        <v/>
      </c>
      <c r="C5" s="469"/>
      <c r="D5" s="70">
        <f>SUMIFS('Salary &amp; Fringe'!$N$1:'Salary &amp; Fringe'!$N$300,'Salary &amp; Fringe'!$E$1:'Salary &amp; Fringe'!$E$300,"Senior Person 2",'Salary &amp; Fringe'!$F$1:'Salary &amp; Fringe'!$F$300,"Calendar(12)")</f>
        <v>0</v>
      </c>
      <c r="E5" s="70">
        <f>SUMIFS('Salary &amp; Fringe'!$N$1:'Salary &amp; Fringe'!$N$300,'Salary &amp; Fringe'!$E$1:'Salary &amp; Fringe'!$E$300,"Senior Person 2",'Salary &amp; Fringe'!$F$1:'Salary &amp; Fringe'!$F$300,"Academic")</f>
        <v>0</v>
      </c>
      <c r="F5" s="70">
        <f>SUMIFS('Salary &amp; Fringe'!$N$1:'Salary &amp; Fringe'!$N$300,'Salary &amp; Fringe'!$E$1:'Salary &amp; Fringe'!$E$300,"Senior Person 2",'Salary &amp; Fringe'!$F$1:'Salary &amp; Fringe'!$F$300,"Summer")</f>
        <v>0</v>
      </c>
      <c r="G5" s="129">
        <f>SUMIF('Salary &amp; Fringe'!$E$1:$E$300,"Senior Person 2",'Salary &amp; Fringe'!$X$1:$X$300)</f>
        <v>0</v>
      </c>
    </row>
    <row r="6" spans="1:7" x14ac:dyDescent="0.25">
      <c r="A6" s="18" t="s">
        <v>95</v>
      </c>
      <c r="B6" s="469" t="str">
        <f>IF(G6&gt;0,CONCATENATE((INDEX('Salary &amp; Fringe'!$A$1:$A$300,MATCH("Senior Person 3",'Salary &amp; Fringe'!$E$1:$E$300,FALSE),1))," ",(INDEX('Salary &amp; Fringe'!$B$1:$B$300,MATCH("Senior Person 3",'Salary &amp; Fringe'!$E$1:$E$300,FALSE),1))),"")</f>
        <v/>
      </c>
      <c r="C6" s="469"/>
      <c r="D6" s="70">
        <f>SUMIFS('Salary &amp; Fringe'!$N$1:'Salary &amp; Fringe'!$N$300,'Salary &amp; Fringe'!$E$1:'Salary &amp; Fringe'!$E$300,"Senior Person 3",'Salary &amp; Fringe'!$F$1:'Salary &amp; Fringe'!$F$300,"Calendar(12)")</f>
        <v>0</v>
      </c>
      <c r="E6" s="70">
        <f>SUMIFS('Salary &amp; Fringe'!$N$1:'Salary &amp; Fringe'!$N$300,'Salary &amp; Fringe'!$E$1:'Salary &amp; Fringe'!$E$300,"Senior Person 3",'Salary &amp; Fringe'!$F$1:'Salary &amp; Fringe'!$F$300,"Academic")</f>
        <v>0</v>
      </c>
      <c r="F6" s="70">
        <f>SUMIFS('Salary &amp; Fringe'!$N$1:'Salary &amp; Fringe'!$N$300,'Salary &amp; Fringe'!$E$1:'Salary &amp; Fringe'!$E$300,"Senior Person 3",'Salary &amp; Fringe'!$F$1:'Salary &amp; Fringe'!$F$300,"Summer")</f>
        <v>0</v>
      </c>
      <c r="G6" s="129">
        <f>SUMIF('Salary &amp; Fringe'!$E$1:$E$300,"Senior Person 3",'Salary &amp; Fringe'!$X$1:$X$300)</f>
        <v>0</v>
      </c>
    </row>
    <row r="7" spans="1:7" x14ac:dyDescent="0.25">
      <c r="A7" s="18" t="s">
        <v>96</v>
      </c>
      <c r="B7" s="469" t="str">
        <f>IF(G7&gt;0,CONCATENATE((INDEX('Salary &amp; Fringe'!$A$1:$A$300,MATCH("Senior Person 4",'Salary &amp; Fringe'!$E$1:$E$300,FALSE),1))," ",(INDEX('Salary &amp; Fringe'!$B$1:$B$300,MATCH("Senior Person 4",'Salary &amp; Fringe'!$E$1:$E$300,FALSE),1))),"")</f>
        <v/>
      </c>
      <c r="C7" s="469"/>
      <c r="D7" s="70">
        <f>SUMIFS('Salary &amp; Fringe'!$N$1:'Salary &amp; Fringe'!$N$300,'Salary &amp; Fringe'!$E$1:'Salary &amp; Fringe'!$E$300,"Senior Person 4",'Salary &amp; Fringe'!$F$1:'Salary &amp; Fringe'!$F$300,"Calendar(12)")</f>
        <v>0</v>
      </c>
      <c r="E7" s="70">
        <f>SUMIFS('Salary &amp; Fringe'!$N$1:'Salary &amp; Fringe'!$N$300,'Salary &amp; Fringe'!$E$1:'Salary &amp; Fringe'!$E$300,"Senior Person 4",'Salary &amp; Fringe'!$F$1:'Salary &amp; Fringe'!$F$300,"Academic")</f>
        <v>0</v>
      </c>
      <c r="F7" s="70">
        <f>SUMIFS('Salary &amp; Fringe'!$N$1:'Salary &amp; Fringe'!$N$300,'Salary &amp; Fringe'!$E$1:'Salary &amp; Fringe'!$E$300,"Senior Person 4",'Salary &amp; Fringe'!$F$1:'Salary &amp; Fringe'!$F$300,"Summer")</f>
        <v>0</v>
      </c>
      <c r="G7" s="129">
        <f>SUMIF('Salary &amp; Fringe'!$E$1:$E$300,"Senior Person 4",'Salary &amp; Fringe'!$X$1:$X$300)</f>
        <v>0</v>
      </c>
    </row>
    <row r="8" spans="1:7" x14ac:dyDescent="0.25">
      <c r="A8" s="18" t="s">
        <v>97</v>
      </c>
      <c r="B8" s="469" t="str">
        <f>IF(G8&gt;0,CONCATENATE((INDEX('Salary &amp; Fringe'!$A$1:$A$300,MATCH("Senior Person 5",'Salary &amp; Fringe'!$E$1:$E$300,FALSE),1))," ",(INDEX('Salary &amp; Fringe'!$B$1:$B$300,MATCH("Senior Person 5",'Salary &amp; Fringe'!$E$1:$E$300,FALSE),1))),"")</f>
        <v/>
      </c>
      <c r="C8" s="469"/>
      <c r="D8" s="70">
        <f>SUMIFS('Salary &amp; Fringe'!$N$1:'Salary &amp; Fringe'!$N$300,'Salary &amp; Fringe'!$E$1:'Salary &amp; Fringe'!$E$300,"Senior Person 5",'Salary &amp; Fringe'!$F$1:'Salary &amp; Fringe'!$F$300,"Calendar(12)")</f>
        <v>0</v>
      </c>
      <c r="E8" s="70">
        <f>SUMIFS('Salary &amp; Fringe'!$N$1:'Salary &amp; Fringe'!$N$300,'Salary &amp; Fringe'!$E$1:'Salary &amp; Fringe'!$E$300,"Senior Person 5",'Salary &amp; Fringe'!$F$1:'Salary &amp; Fringe'!$F$300,"Academic")</f>
        <v>0</v>
      </c>
      <c r="F8" s="70">
        <f>SUMIFS('Salary &amp; Fringe'!$N$1:'Salary &amp; Fringe'!$N$300,'Salary &amp; Fringe'!$E$1:'Salary &amp; Fringe'!$E$300,"Senior Person 5",'Salary &amp; Fringe'!$F$1:'Salary &amp; Fringe'!$F$300,"Summer")</f>
        <v>0</v>
      </c>
      <c r="G8" s="129">
        <f>SUMIF('Salary &amp; Fringe'!$E$1:$E$300,"Senior Person 5",'Salary &amp; Fringe'!$X$1:$X$300)</f>
        <v>0</v>
      </c>
    </row>
    <row r="9" spans="1:7" x14ac:dyDescent="0.25">
      <c r="A9" s="18" t="s">
        <v>98</v>
      </c>
      <c r="B9" s="72">
        <f>SUMIFS('Salary &amp; Fringe'!$I$1:$I$300,'Salary &amp; Fringe'!$E$1:$E$300,"Senior (Other)", 'Salary &amp; Fringe'!$N$1:'Salary &amp; Fringe'!$N$300, "&gt;0")</f>
        <v>0</v>
      </c>
      <c r="C9" s="19" t="s">
        <v>100</v>
      </c>
      <c r="D9" s="70">
        <f>SUMIFS('Salary &amp; Fringe'!$N$1:'Salary &amp; Fringe'!$N$300,'Salary &amp; Fringe'!$E$1:'Salary &amp; Fringe'!$E$300,"Senior (Other)",'Salary &amp; Fringe'!$F$1:'Salary &amp; Fringe'!$F$300,"Calendar(12)")</f>
        <v>0</v>
      </c>
      <c r="E9" s="70">
        <f>SUMIFS('Salary &amp; Fringe'!$N$1:'Salary &amp; Fringe'!$N$300,'Salary &amp; Fringe'!$E$1:'Salary &amp; Fringe'!$E$300,"Senior (Other)",'Salary &amp; Fringe'!$F$1:'Salary &amp; Fringe'!$F$300,"Academic")</f>
        <v>0</v>
      </c>
      <c r="F9" s="70">
        <f>SUMIFS('Salary &amp; Fringe'!$N$1:'Salary &amp; Fringe'!$N$300,'Salary &amp; Fringe'!$E$1:'Salary &amp; Fringe'!$E$300,"Senior (Other)",'Salary &amp; Fringe'!$F$1:'Salary &amp; Fringe'!$F$300,"Summer")</f>
        <v>0</v>
      </c>
      <c r="G9" s="129">
        <f>SUMIF('Salary &amp; Fringe'!$E$1:$E$300,"Senior (Other)",'Salary &amp; Fringe'!$X$1:$X$300)</f>
        <v>0</v>
      </c>
    </row>
    <row r="10" spans="1:7" x14ac:dyDescent="0.25">
      <c r="A10" s="18" t="s">
        <v>99</v>
      </c>
      <c r="B10" s="76">
        <f>(COUNTIF(G4:G8,"&gt;0")+B9)</f>
        <v>0</v>
      </c>
      <c r="C10" s="19" t="s">
        <v>128</v>
      </c>
      <c r="D10" s="67">
        <f>SUM(D4:D9)</f>
        <v>0</v>
      </c>
      <c r="E10" s="67">
        <f>SUM(E4:E9)</f>
        <v>0</v>
      </c>
      <c r="F10" s="67">
        <f>SUM(F4:F9)</f>
        <v>0</v>
      </c>
      <c r="G10" s="130">
        <f>SUM(G4:G9)</f>
        <v>0</v>
      </c>
    </row>
    <row r="11" spans="1:7" x14ac:dyDescent="0.25">
      <c r="A11" s="470" t="s">
        <v>102</v>
      </c>
      <c r="B11" s="471"/>
      <c r="C11" s="472"/>
      <c r="D11" s="11"/>
      <c r="E11" s="11"/>
      <c r="F11" s="11"/>
      <c r="G11" s="131"/>
    </row>
    <row r="12" spans="1:7" x14ac:dyDescent="0.25">
      <c r="A12" s="18" t="s">
        <v>93</v>
      </c>
      <c r="B12" s="72">
        <f>SUMIFS('Salary &amp; Fringe'!$I$1:$I$300,'Salary &amp; Fringe'!$E$1:$E$300,"Postdoc", 'Salary &amp; Fringe'!$N$1:'Salary &amp; Fringe'!$N$300, "&gt;0")</f>
        <v>0</v>
      </c>
      <c r="C12" s="68" t="s">
        <v>103</v>
      </c>
      <c r="D12" s="71">
        <f>SUMIF('Salary &amp; Fringe'!$E$1:$E$300,"Postdoc",'Salary &amp; Fringe'!$N$1:$N$300)</f>
        <v>0</v>
      </c>
      <c r="E12" s="70">
        <v>0</v>
      </c>
      <c r="F12" s="70">
        <v>0</v>
      </c>
      <c r="G12" s="129">
        <f>SUMIF('Salary &amp; Fringe'!$E$1:$E$300,"Postdoc",'Salary &amp; Fringe'!$X$1:$X$300)</f>
        <v>0</v>
      </c>
    </row>
    <row r="13" spans="1:7" x14ac:dyDescent="0.25">
      <c r="A13" s="18" t="s">
        <v>94</v>
      </c>
      <c r="B13" s="72">
        <f>SUMIFS('Salary &amp; Fringe'!$I$1:$I$300,'Salary &amp; Fringe'!$E$1:$E$300,"Professional (Other)", 'Salary &amp; Fringe'!$N$1:'Salary &amp; Fringe'!$N$300, "&gt;0")</f>
        <v>0</v>
      </c>
      <c r="C13" s="68" t="s">
        <v>104</v>
      </c>
      <c r="D13" s="71">
        <f>SUMIF('Salary &amp; Fringe'!$E$1:$E$300,"Professional (Other)",'Salary &amp; Fringe'!$N$1:$N$300)</f>
        <v>0</v>
      </c>
      <c r="E13" s="70">
        <v>0</v>
      </c>
      <c r="F13" s="70">
        <v>0</v>
      </c>
      <c r="G13" s="129">
        <f>SUMIF('Salary &amp; Fringe'!$E$1:$E$300,"Professional (Other)",'Salary &amp; Fringe'!$X$1:$X$300)</f>
        <v>0</v>
      </c>
    </row>
    <row r="14" spans="1:7" x14ac:dyDescent="0.25">
      <c r="A14" s="18" t="s">
        <v>95</v>
      </c>
      <c r="B14" s="139"/>
      <c r="C14" s="473" t="s">
        <v>105</v>
      </c>
      <c r="D14" s="473"/>
      <c r="E14" s="473"/>
      <c r="F14" s="473"/>
      <c r="G14" s="129">
        <f>SUMIF('Salary &amp; Fringe'!$E$1:$E$300,"Grad",'Salary &amp; Fringe'!$X$1:$X$300)</f>
        <v>0</v>
      </c>
    </row>
    <row r="15" spans="1:7" x14ac:dyDescent="0.25">
      <c r="A15" s="18" t="s">
        <v>96</v>
      </c>
      <c r="B15" s="233"/>
      <c r="C15" s="474" t="s">
        <v>106</v>
      </c>
      <c r="D15" s="474"/>
      <c r="E15" s="474"/>
      <c r="F15" s="474"/>
      <c r="G15" s="129">
        <f>SUMIF('Salary &amp; Fringe'!$E$1:$E$300,"Undergrad",'Salary &amp; Fringe'!$X$1:$X$300)</f>
        <v>0</v>
      </c>
    </row>
    <row r="16" spans="1:7" x14ac:dyDescent="0.25">
      <c r="A16" s="18" t="s">
        <v>97</v>
      </c>
      <c r="B16" s="72">
        <f>SUMIFS('Salary &amp; Fringe'!$I$1:$I$300,'Salary &amp; Fringe'!$E$1:$E$300,"Clerical", 'Salary &amp; Fringe'!$N$1:'Salary &amp; Fringe'!$N$300, "&gt;0")</f>
        <v>0</v>
      </c>
      <c r="C16" s="473" t="s">
        <v>107</v>
      </c>
      <c r="D16" s="473"/>
      <c r="E16" s="473"/>
      <c r="F16" s="473"/>
      <c r="G16" s="129">
        <f>SUMIF('Salary &amp; Fringe'!$E$1:$E$300,"Clerical",'Salary &amp; Fringe'!$X$1:$X$300)</f>
        <v>0</v>
      </c>
    </row>
    <row r="17" spans="1:7" x14ac:dyDescent="0.25">
      <c r="A17" s="18" t="s">
        <v>98</v>
      </c>
      <c r="B17" s="72">
        <f>SUMIFS('Salary &amp; Fringe'!$I$1:$I$300,'Salary &amp; Fringe'!$E$1:$E$300,"Other*", 'Salary &amp; Fringe'!$N$1:'Salary &amp; Fringe'!$N$300, "&gt;0")</f>
        <v>0</v>
      </c>
      <c r="C17" s="474" t="s">
        <v>53</v>
      </c>
      <c r="D17" s="474"/>
      <c r="E17" s="474"/>
      <c r="F17" s="474"/>
      <c r="G17" s="129">
        <f>SUMIF('Salary &amp; Fringe'!$E$1:$E$300,"Other*",'Salary &amp; Fringe'!$X$1:$X$300)</f>
        <v>0</v>
      </c>
    </row>
    <row r="18" spans="1:7" x14ac:dyDescent="0.25">
      <c r="A18" s="475" t="s">
        <v>108</v>
      </c>
      <c r="B18" s="476"/>
      <c r="C18" s="476"/>
      <c r="D18" s="476"/>
      <c r="E18" s="476"/>
      <c r="F18" s="477"/>
      <c r="G18" s="130">
        <f>SUM(G10,G12:G17)</f>
        <v>0</v>
      </c>
    </row>
    <row r="19" spans="1:7" x14ac:dyDescent="0.25">
      <c r="A19" s="470" t="s">
        <v>109</v>
      </c>
      <c r="B19" s="471"/>
      <c r="C19" s="471"/>
      <c r="D19" s="471"/>
      <c r="E19" s="471"/>
      <c r="F19" s="472"/>
      <c r="G19" s="130">
        <f ca="1">TotalFringe2</f>
        <v>0</v>
      </c>
    </row>
    <row r="20" spans="1:7" x14ac:dyDescent="0.25">
      <c r="A20" s="475" t="s">
        <v>110</v>
      </c>
      <c r="B20" s="476"/>
      <c r="C20" s="476"/>
      <c r="D20" s="476"/>
      <c r="E20" s="476"/>
      <c r="F20" s="477"/>
      <c r="G20" s="130">
        <f ca="1">G18+G19</f>
        <v>0</v>
      </c>
    </row>
    <row r="21" spans="1:7" x14ac:dyDescent="0.25">
      <c r="A21" s="478" t="s">
        <v>111</v>
      </c>
      <c r="B21" s="479"/>
      <c r="C21" s="479"/>
      <c r="D21" s="479"/>
      <c r="E21" s="479"/>
      <c r="F21" s="480"/>
      <c r="G21" s="130"/>
    </row>
    <row r="22" spans="1:7" x14ac:dyDescent="0.25">
      <c r="A22" s="481" t="str">
        <f>IF(ISBLANK(Budget!H47),"",Budget!A47)</f>
        <v/>
      </c>
      <c r="B22" s="481"/>
      <c r="C22" s="481"/>
      <c r="D22" s="482" t="str">
        <f>IF(Budget!H47&gt;0,Budget!H47,"")</f>
        <v/>
      </c>
      <c r="E22" s="482"/>
      <c r="F22" s="482"/>
      <c r="G22" s="132"/>
    </row>
    <row r="23" spans="1:7" x14ac:dyDescent="0.25">
      <c r="A23" s="481" t="str">
        <f>IF(ISBLANK(Budget!H48),"",Budget!A48)</f>
        <v/>
      </c>
      <c r="B23" s="481"/>
      <c r="C23" s="481"/>
      <c r="D23" s="482" t="str">
        <f>IF(Budget!H48&gt;0,Budget!H48,"")</f>
        <v/>
      </c>
      <c r="E23" s="482"/>
      <c r="F23" s="482"/>
      <c r="G23" s="133"/>
    </row>
    <row r="24" spans="1:7" x14ac:dyDescent="0.25">
      <c r="A24" s="481" t="str">
        <f>IF(ISBLANK(Budget!H49),"",Budget!A49)</f>
        <v/>
      </c>
      <c r="B24" s="481"/>
      <c r="C24" s="481"/>
      <c r="D24" s="482" t="str">
        <f>IF(Budget!H49&gt;0,Budget!H49,"")</f>
        <v/>
      </c>
      <c r="E24" s="482"/>
      <c r="F24" s="482"/>
      <c r="G24" s="133"/>
    </row>
    <row r="25" spans="1:7" x14ac:dyDescent="0.25">
      <c r="A25" s="481" t="str">
        <f>IF(ISBLANK(Budget!H50),"",Budget!A50)</f>
        <v/>
      </c>
      <c r="B25" s="481"/>
      <c r="C25" s="481"/>
      <c r="D25" s="482" t="str">
        <f>IF(Budget!H50&gt;0,Budget!H50,"")</f>
        <v/>
      </c>
      <c r="E25" s="482"/>
      <c r="F25" s="482"/>
      <c r="G25" s="133"/>
    </row>
    <row r="26" spans="1:7" x14ac:dyDescent="0.25">
      <c r="A26" s="481" t="str">
        <f>IF(ISBLANK(Budget!H51),"",Budget!A51)</f>
        <v/>
      </c>
      <c r="B26" s="481"/>
      <c r="C26" s="481"/>
      <c r="D26" s="482" t="str">
        <f>IF(Budget!H51&gt;0,Budget!H51,"")</f>
        <v/>
      </c>
      <c r="E26" s="482"/>
      <c r="F26" s="482"/>
      <c r="G26" s="133"/>
    </row>
    <row r="27" spans="1:7" x14ac:dyDescent="0.25">
      <c r="A27" s="475" t="s">
        <v>58</v>
      </c>
      <c r="B27" s="476"/>
      <c r="C27" s="476"/>
      <c r="D27" s="476"/>
      <c r="E27" s="476"/>
      <c r="F27" s="477"/>
      <c r="G27" s="130">
        <f>Budget!H52</f>
        <v>0</v>
      </c>
    </row>
    <row r="28" spans="1:7" x14ac:dyDescent="0.25">
      <c r="A28" s="489" t="s">
        <v>112</v>
      </c>
      <c r="B28" s="489"/>
      <c r="C28" s="489"/>
      <c r="D28" s="489"/>
      <c r="E28" s="489"/>
      <c r="F28" s="489"/>
      <c r="G28" s="134"/>
    </row>
    <row r="29" spans="1:7" x14ac:dyDescent="0.25">
      <c r="A29" s="481" t="s">
        <v>203</v>
      </c>
      <c r="B29" s="481"/>
      <c r="C29" s="481"/>
      <c r="D29" s="481"/>
      <c r="E29" s="481"/>
      <c r="F29" s="481"/>
      <c r="G29" s="130">
        <f>Budget!H39</f>
        <v>0</v>
      </c>
    </row>
    <row r="30" spans="1:7" x14ac:dyDescent="0.25">
      <c r="A30" s="488" t="s">
        <v>113</v>
      </c>
      <c r="B30" s="488"/>
      <c r="C30" s="488"/>
      <c r="D30" s="488"/>
      <c r="E30" s="488"/>
      <c r="F30" s="488"/>
      <c r="G30" s="130">
        <f>Budget!H44</f>
        <v>0</v>
      </c>
    </row>
    <row r="31" spans="1:7" x14ac:dyDescent="0.25">
      <c r="A31" s="478" t="s">
        <v>114</v>
      </c>
      <c r="B31" s="479"/>
      <c r="C31" s="479"/>
      <c r="D31" s="498"/>
      <c r="E31" s="498"/>
      <c r="F31" s="499"/>
      <c r="G31" s="135"/>
    </row>
    <row r="32" spans="1:7" x14ac:dyDescent="0.25">
      <c r="A32" s="474" t="s">
        <v>115</v>
      </c>
      <c r="B32" s="474"/>
      <c r="C32" s="44">
        <f>SUMIF(Budget!$A$2:$A$504,"PS Stipends",Budget!$H$2:$H$504)</f>
        <v>0</v>
      </c>
      <c r="D32" s="20"/>
      <c r="E32" s="21"/>
      <c r="F32" s="21"/>
      <c r="G32" s="136"/>
    </row>
    <row r="33" spans="1:7" x14ac:dyDescent="0.25">
      <c r="A33" s="474" t="s">
        <v>116</v>
      </c>
      <c r="B33" s="474"/>
      <c r="C33" s="44">
        <f>SUMIF(Budget!$A$2:$A$504,"PS Travel",Budget!$H$2:$H$504)</f>
        <v>0</v>
      </c>
      <c r="D33" s="22"/>
      <c r="E33" s="23"/>
      <c r="F33" s="23"/>
      <c r="G33" s="136"/>
    </row>
    <row r="34" spans="1:7" x14ac:dyDescent="0.25">
      <c r="A34" s="474" t="s">
        <v>117</v>
      </c>
      <c r="B34" s="474"/>
      <c r="C34" s="44">
        <f>SUMIF(Budget!$A$2:$A$504,"PS Subsistence",Budget!$H$2:$H$504)</f>
        <v>0</v>
      </c>
      <c r="D34" s="22"/>
      <c r="E34" s="23"/>
      <c r="F34" s="23"/>
      <c r="G34" s="136"/>
    </row>
    <row r="35" spans="1:7" x14ac:dyDescent="0.25">
      <c r="A35" s="474" t="s">
        <v>118</v>
      </c>
      <c r="B35" s="474"/>
      <c r="C35" s="44">
        <f>SUMIF(Budget!$A$2:$A$504,"PS Other",Budget!$H$2:$H$504)</f>
        <v>0</v>
      </c>
      <c r="D35" s="12"/>
      <c r="E35" s="13"/>
      <c r="F35" s="13"/>
      <c r="G35" s="137"/>
    </row>
    <row r="36" spans="1:7" x14ac:dyDescent="0.25">
      <c r="A36" s="503"/>
      <c r="B36" s="504"/>
      <c r="C36" s="500" t="s">
        <v>59</v>
      </c>
      <c r="D36" s="501"/>
      <c r="E36" s="501"/>
      <c r="F36" s="502"/>
      <c r="G36" s="130">
        <f>Budget!H57</f>
        <v>0</v>
      </c>
    </row>
    <row r="37" spans="1:7" x14ac:dyDescent="0.25">
      <c r="A37" s="489" t="s">
        <v>119</v>
      </c>
      <c r="B37" s="489"/>
      <c r="C37" s="489"/>
      <c r="D37" s="489"/>
      <c r="E37" s="489"/>
      <c r="F37" s="489"/>
      <c r="G37" s="134"/>
    </row>
    <row r="38" spans="1:7" x14ac:dyDescent="0.25">
      <c r="A38" s="474" t="s">
        <v>120</v>
      </c>
      <c r="B38" s="474"/>
      <c r="C38" s="474"/>
      <c r="D38" s="474"/>
      <c r="E38" s="474"/>
      <c r="F38" s="474"/>
      <c r="G38" s="138">
        <f>SUMIF(Budget!$A$2:$A$504,"Materials &amp; Supplies",Budget!$H$2:$H$504)</f>
        <v>0</v>
      </c>
    </row>
    <row r="39" spans="1:7" x14ac:dyDescent="0.25">
      <c r="A39" s="474" t="s">
        <v>121</v>
      </c>
      <c r="B39" s="474"/>
      <c r="C39" s="474"/>
      <c r="D39" s="474"/>
      <c r="E39" s="474"/>
      <c r="F39" s="474"/>
      <c r="G39" s="138">
        <f>SUMIF(Budget!$A$2:$A$504,"Publication Costs/Page Charges",Budget!$H$2:$H$504)</f>
        <v>0</v>
      </c>
    </row>
    <row r="40" spans="1:7" x14ac:dyDescent="0.25">
      <c r="A40" s="474" t="s">
        <v>122</v>
      </c>
      <c r="B40" s="474"/>
      <c r="C40" s="474"/>
      <c r="D40" s="474"/>
      <c r="E40" s="474"/>
      <c r="F40" s="474"/>
      <c r="G40" s="138">
        <f>SUMIF(Budget!$A$2:$A$504,"Consultant Services",Budget!$H$2:$H$504)</f>
        <v>0</v>
      </c>
    </row>
    <row r="41" spans="1:7" x14ac:dyDescent="0.25">
      <c r="A41" s="474" t="s">
        <v>123</v>
      </c>
      <c r="B41" s="474"/>
      <c r="C41" s="474"/>
      <c r="D41" s="474"/>
      <c r="E41" s="474"/>
      <c r="F41" s="474"/>
      <c r="G41" s="138">
        <f>SUMIF(Budget!$A$2:$A$504,"Computer (ADPE) Services",Budget!$H$2:$H$504)</f>
        <v>0</v>
      </c>
    </row>
    <row r="42" spans="1:7" x14ac:dyDescent="0.25">
      <c r="A42" s="474" t="s">
        <v>124</v>
      </c>
      <c r="B42" s="474"/>
      <c r="C42" s="474"/>
      <c r="D42" s="474"/>
      <c r="E42" s="474"/>
      <c r="F42" s="474"/>
      <c r="G42" s="138">
        <f ca="1">TotalSubs2+TotalMulti2</f>
        <v>0</v>
      </c>
    </row>
    <row r="43" spans="1:7" x14ac:dyDescent="0.25">
      <c r="A43" s="474" t="s">
        <v>125</v>
      </c>
      <c r="B43" s="474"/>
      <c r="C43" s="474"/>
      <c r="D43" s="474"/>
      <c r="E43" s="474"/>
      <c r="F43" s="474"/>
      <c r="G43" s="138">
        <f>SUMIF(Budget!$A$2:$A$504,"Vendor Contract",Budget!$H$2:$H$504)+SUMIF(Budget!$A$2:$A$504,"Service Agreement",Budget!$H$2:$H$504)+SUMIF(Budget!$A$2:$A$504,"Space Rentals",Budget!$H$2:$H$504)+SUMIF(Budget!$A$2:$A$504,"Other*",Budget!$H$2:$H$504)+SUMIF(Budget!$A$2:$A$504,"Equipment or Facility*",Budget!$H$2:$H$504)+TotalGSR2</f>
        <v>0</v>
      </c>
    </row>
    <row r="44" spans="1:7" x14ac:dyDescent="0.25">
      <c r="A44" s="497" t="s">
        <v>127</v>
      </c>
      <c r="B44" s="497"/>
      <c r="C44" s="497"/>
      <c r="D44" s="497"/>
      <c r="E44" s="497"/>
      <c r="F44" s="497"/>
      <c r="G44" s="130">
        <f ca="1">SUM(G38:G43)</f>
        <v>0</v>
      </c>
    </row>
    <row r="45" spans="1:7" x14ac:dyDescent="0.25">
      <c r="A45" s="489" t="s">
        <v>126</v>
      </c>
      <c r="B45" s="489"/>
      <c r="C45" s="489"/>
      <c r="D45" s="489"/>
      <c r="E45" s="489"/>
      <c r="F45" s="489"/>
      <c r="G45" s="130">
        <f ca="1">SUM(G20+G27+G29+G30+G36+G44)</f>
        <v>0</v>
      </c>
    </row>
    <row r="46" spans="1:7" x14ac:dyDescent="0.25">
      <c r="A46" s="491" t="s">
        <v>129</v>
      </c>
      <c r="B46" s="492"/>
      <c r="C46" s="492"/>
      <c r="D46" s="492"/>
      <c r="E46" s="492"/>
      <c r="F46" s="493"/>
      <c r="G46" s="134"/>
    </row>
    <row r="47" spans="1:7" x14ac:dyDescent="0.25">
      <c r="C47" s="57" t="str">
        <f>Budget!H105</f>
        <v xml:space="preserve"> </v>
      </c>
      <c r="D47" s="69" t="s">
        <v>130</v>
      </c>
      <c r="E47" s="45">
        <f ca="1">Budget!H101</f>
        <v>0</v>
      </c>
      <c r="F47" t="s">
        <v>55</v>
      </c>
      <c r="G47" s="130">
        <f ca="1">Budget!H109</f>
        <v>0</v>
      </c>
    </row>
    <row r="48" spans="1:7" x14ac:dyDescent="0.25">
      <c r="A48" s="478" t="s">
        <v>131</v>
      </c>
      <c r="B48" s="479"/>
      <c r="C48" s="479"/>
      <c r="D48" s="479"/>
      <c r="E48" s="479"/>
      <c r="F48" s="480"/>
      <c r="G48" s="130">
        <f ca="1">G45+G47</f>
        <v>0</v>
      </c>
    </row>
    <row r="49" spans="1:7" x14ac:dyDescent="0.25">
      <c r="A49" s="494" t="s">
        <v>213</v>
      </c>
      <c r="B49" s="495"/>
      <c r="C49" s="495"/>
      <c r="D49" s="495"/>
      <c r="E49" s="495"/>
      <c r="F49" s="496"/>
      <c r="G49" s="141"/>
    </row>
    <row r="50" spans="1:7" x14ac:dyDescent="0.25">
      <c r="A50" s="483" t="s">
        <v>132</v>
      </c>
      <c r="B50" s="484"/>
      <c r="C50" s="484"/>
      <c r="D50" s="484"/>
      <c r="E50" s="484"/>
      <c r="F50" s="485"/>
      <c r="G50" s="138">
        <f ca="1">IF(G49&gt;0, G48-G49, G48)</f>
        <v>0</v>
      </c>
    </row>
  </sheetData>
  <sheetProtection algorithmName="SHA-512" hashValue="tT82IQv0mogaa6iiYw55T5FqKMKZyJTHHOVQGu5DeqEczxB6/Y2zX+TwcWS9oCBAB84FFIqqeJu/ctEdENb61w==" saltValue="mrulm81q86Pr8i30Vvq7ig==" spinCount="100000" sheet="1" objects="1" scenarios="1" selectLockedCells="1"/>
  <mergeCells count="52">
    <mergeCell ref="A1:G1"/>
    <mergeCell ref="A25:C25"/>
    <mergeCell ref="D25:F25"/>
    <mergeCell ref="A23:C23"/>
    <mergeCell ref="D23:F23"/>
    <mergeCell ref="A24:C24"/>
    <mergeCell ref="D24:F24"/>
    <mergeCell ref="B6:C6"/>
    <mergeCell ref="A2:C3"/>
    <mergeCell ref="D2:F2"/>
    <mergeCell ref="G2:G3"/>
    <mergeCell ref="B4:C4"/>
    <mergeCell ref="B5:C5"/>
    <mergeCell ref="A22:C22"/>
    <mergeCell ref="D22:F22"/>
    <mergeCell ref="B7:C7"/>
    <mergeCell ref="B8:C8"/>
    <mergeCell ref="A11:C11"/>
    <mergeCell ref="C14:F14"/>
    <mergeCell ref="C15:F15"/>
    <mergeCell ref="C16:F16"/>
    <mergeCell ref="C17:F17"/>
    <mergeCell ref="A18:F18"/>
    <mergeCell ref="A19:F19"/>
    <mergeCell ref="A20:F20"/>
    <mergeCell ref="A21:F21"/>
    <mergeCell ref="A39:F39"/>
    <mergeCell ref="A26:C26"/>
    <mergeCell ref="D26:F26"/>
    <mergeCell ref="A30:F30"/>
    <mergeCell ref="A31:F31"/>
    <mergeCell ref="A27:F27"/>
    <mergeCell ref="A28:F28"/>
    <mergeCell ref="A29:F29"/>
    <mergeCell ref="A32:B32"/>
    <mergeCell ref="A33:B33"/>
    <mergeCell ref="A34:B34"/>
    <mergeCell ref="C36:F36"/>
    <mergeCell ref="A37:F37"/>
    <mergeCell ref="A38:F38"/>
    <mergeCell ref="A35:B35"/>
    <mergeCell ref="A36:B36"/>
    <mergeCell ref="A40:F40"/>
    <mergeCell ref="A41:F41"/>
    <mergeCell ref="A42:F42"/>
    <mergeCell ref="A43:F43"/>
    <mergeCell ref="A44:F44"/>
    <mergeCell ref="A46:F46"/>
    <mergeCell ref="A48:F48"/>
    <mergeCell ref="A49:F49"/>
    <mergeCell ref="A50:F50"/>
    <mergeCell ref="A45:F45"/>
  </mergeCells>
  <phoneticPr fontId="9" type="noConversion"/>
  <pageMargins left="0.75" right="0.75" top="1" bottom="1" header="0.5" footer="0.5"/>
  <pageSetup scale="80" orientation="portrait" horizontalDpi="4294967292" verticalDpi="4294967292" r:id="rId1"/>
  <rowBreaks count="1" manualBreakCount="1">
    <brk id="50" max="16383" man="1"/>
  </rowBreaks>
  <colBreaks count="1" manualBreakCount="1">
    <brk id="7" max="1048575" man="1"/>
  </colBreak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G50"/>
  <sheetViews>
    <sheetView topLeftCell="A22" workbookViewId="0">
      <selection activeCell="G49" sqref="G49"/>
    </sheetView>
  </sheetViews>
  <sheetFormatPr defaultColWidth="11" defaultRowHeight="15.75" x14ac:dyDescent="0.25"/>
  <cols>
    <col min="1" max="1" width="5.875" customWidth="1"/>
    <col min="2" max="2" width="7" customWidth="1"/>
    <col min="3" max="3" width="43.625" customWidth="1"/>
    <col min="4" max="6" width="10.875" customWidth="1"/>
    <col min="7" max="7" width="14.625" customWidth="1"/>
  </cols>
  <sheetData>
    <row r="1" spans="1:7" s="140" customFormat="1" ht="24.95" customHeight="1" x14ac:dyDescent="0.25">
      <c r="A1" s="490" t="s">
        <v>276</v>
      </c>
      <c r="B1" s="490"/>
      <c r="C1" s="490"/>
      <c r="D1" s="490"/>
      <c r="E1" s="490"/>
      <c r="F1" s="490"/>
      <c r="G1" s="490"/>
    </row>
    <row r="2" spans="1:7" x14ac:dyDescent="0.25">
      <c r="A2" s="505" t="s">
        <v>101</v>
      </c>
      <c r="B2" s="506"/>
      <c r="C2" s="507"/>
      <c r="D2" s="468" t="s">
        <v>88</v>
      </c>
      <c r="E2" s="468"/>
      <c r="F2" s="468"/>
      <c r="G2" s="486" t="s">
        <v>92</v>
      </c>
    </row>
    <row r="3" spans="1:7" x14ac:dyDescent="0.25">
      <c r="A3" s="508"/>
      <c r="B3" s="509"/>
      <c r="C3" s="510"/>
      <c r="D3" s="74" t="s">
        <v>89</v>
      </c>
      <c r="E3" s="74" t="s">
        <v>90</v>
      </c>
      <c r="F3" s="74" t="s">
        <v>91</v>
      </c>
      <c r="G3" s="487"/>
    </row>
    <row r="4" spans="1:7" x14ac:dyDescent="0.25">
      <c r="A4" s="18" t="s">
        <v>93</v>
      </c>
      <c r="B4" s="469" t="str">
        <f>IF(G4&gt;0,CONCATENATE((INDEX('Salary &amp; Fringe'!$A$1:$A$300,MATCH("Senior Person 1",'Salary &amp; Fringe'!$E$1:$E$300,FALSE),1))," ",(INDEX('Salary &amp; Fringe'!$B$1:$B$300,MATCH("Senior Person 1",'Salary &amp; Fringe'!$E$1:$E$300,FALSE),1))),"")</f>
        <v/>
      </c>
      <c r="C4" s="469"/>
      <c r="D4" s="70">
        <f>SUMIFS('Salary &amp; Fringe'!$O$1:'Salary &amp; Fringe'!$O$300,'Salary &amp; Fringe'!$E$1:'Salary &amp; Fringe'!$E$300,"Senior Person 1",'Salary &amp; Fringe'!$F$1:'Salary &amp; Fringe'!$F$300,"Calendar(12)")</f>
        <v>0</v>
      </c>
      <c r="E4" s="70">
        <f>SUMIFS('Salary &amp; Fringe'!$O$1:'Salary &amp; Fringe'!$O$300,'Salary &amp; Fringe'!$E$1:'Salary &amp; Fringe'!$E$300,"Senior Person 1",'Salary &amp; Fringe'!$F$1:'Salary &amp; Fringe'!$F$300,"Academic")</f>
        <v>0</v>
      </c>
      <c r="F4" s="70">
        <f>SUMIFS('Salary &amp; Fringe'!$O$1:'Salary &amp; Fringe'!$O$300,'Salary &amp; Fringe'!$E$1:'Salary &amp; Fringe'!$E$300,"Senior Person 1",'Salary &amp; Fringe'!$F$1:'Salary &amp; Fringe'!$F$300,"Summer")</f>
        <v>0</v>
      </c>
      <c r="G4" s="129">
        <f>SUMIF('Salary &amp; Fringe'!$E$1:$E$300,"Senior Person 1",'Salary &amp; Fringe'!$Y$1:$Y$300)</f>
        <v>0</v>
      </c>
    </row>
    <row r="5" spans="1:7" x14ac:dyDescent="0.25">
      <c r="A5" s="18" t="s">
        <v>94</v>
      </c>
      <c r="B5" s="469" t="str">
        <f>IF(G5&gt;0,CONCATENATE((INDEX('Salary &amp; Fringe'!$A$1:$A$300,MATCH("Senior Person 2",'Salary &amp; Fringe'!$E$1:$E$300,FALSE),1))," ",(INDEX('Salary &amp; Fringe'!$B$1:$B$300,MATCH("Senior Person 2",'Salary &amp; Fringe'!$E$1:$E$300,FALSE),1))),"")</f>
        <v/>
      </c>
      <c r="C5" s="469"/>
      <c r="D5" s="70">
        <f>SUMIFS('Salary &amp; Fringe'!$O$1:'Salary &amp; Fringe'!$O$300,'Salary &amp; Fringe'!$E$1:'Salary &amp; Fringe'!$E$300,"Senior Person 2",'Salary &amp; Fringe'!$F$1:'Salary &amp; Fringe'!$F$300,"Calendar(12)")</f>
        <v>0</v>
      </c>
      <c r="E5" s="70">
        <f>SUMIFS('Salary &amp; Fringe'!$O$1:'Salary &amp; Fringe'!$O$300,'Salary &amp; Fringe'!$E$1:'Salary &amp; Fringe'!$E$300,"Senior Person 2",'Salary &amp; Fringe'!$F$1:'Salary &amp; Fringe'!$F$300,"Academic")</f>
        <v>0</v>
      </c>
      <c r="F5" s="70">
        <f>SUMIFS('Salary &amp; Fringe'!$O$1:'Salary &amp; Fringe'!$O$300,'Salary &amp; Fringe'!$E$1:'Salary &amp; Fringe'!$E$300,"Senior Person 2",'Salary &amp; Fringe'!$F$1:'Salary &amp; Fringe'!$F$300,"Summer")</f>
        <v>0</v>
      </c>
      <c r="G5" s="129">
        <f>SUMIF('Salary &amp; Fringe'!$E$1:$E$300,"Senior Person 2",'Salary &amp; Fringe'!$Y$1:$Y$300)</f>
        <v>0</v>
      </c>
    </row>
    <row r="6" spans="1:7" x14ac:dyDescent="0.25">
      <c r="A6" s="18" t="s">
        <v>95</v>
      </c>
      <c r="B6" s="469" t="str">
        <f>IF(G6&gt;0,CONCATENATE((INDEX('Salary &amp; Fringe'!$A$1:$A$300,MATCH("Senior Person 3",'Salary &amp; Fringe'!$E$1:$E$300,FALSE),1))," ",(INDEX('Salary &amp; Fringe'!$B$1:$B$300,MATCH("Senior Person 3",'Salary &amp; Fringe'!$E$1:$E$300,FALSE),1))),"")</f>
        <v/>
      </c>
      <c r="C6" s="469"/>
      <c r="D6" s="70">
        <f>SUMIFS('Salary &amp; Fringe'!$O$1:'Salary &amp; Fringe'!$O$300,'Salary &amp; Fringe'!$E$1:'Salary &amp; Fringe'!$E$300,"Senior Person 3",'Salary &amp; Fringe'!$F$1:'Salary &amp; Fringe'!$F$300,"Calendar(12)")</f>
        <v>0</v>
      </c>
      <c r="E6" s="70">
        <f>SUMIFS('Salary &amp; Fringe'!$O$1:'Salary &amp; Fringe'!$O$300,'Salary &amp; Fringe'!$E$1:'Salary &amp; Fringe'!$E$300,"Senior Person 3",'Salary &amp; Fringe'!$F$1:'Salary &amp; Fringe'!$F$300,"Academic")</f>
        <v>0</v>
      </c>
      <c r="F6" s="70">
        <f>SUMIFS('Salary &amp; Fringe'!$O$1:'Salary &amp; Fringe'!$O$300,'Salary &amp; Fringe'!$E$1:'Salary &amp; Fringe'!$E$300,"Senior Person 3",'Salary &amp; Fringe'!$F$1:'Salary &amp; Fringe'!$F$300,"Summer")</f>
        <v>0</v>
      </c>
      <c r="G6" s="129">
        <f>SUMIF('Salary &amp; Fringe'!$E$1:$E$300,"Senior Person 3",'Salary &amp; Fringe'!$Y$1:$Y$300)</f>
        <v>0</v>
      </c>
    </row>
    <row r="7" spans="1:7" x14ac:dyDescent="0.25">
      <c r="A7" s="18" t="s">
        <v>96</v>
      </c>
      <c r="B7" s="469" t="str">
        <f>IF(G7&gt;0,CONCATENATE((INDEX('Salary &amp; Fringe'!$A$1:$A$300,MATCH("Senior Person 4",'Salary &amp; Fringe'!$E$1:$E$300,FALSE),1))," ",(INDEX('Salary &amp; Fringe'!$B$1:$B$300,MATCH("Senior Person 4",'Salary &amp; Fringe'!$E$1:$E$300,FALSE),1))),"")</f>
        <v/>
      </c>
      <c r="C7" s="469"/>
      <c r="D7" s="70">
        <f>SUMIFS('Salary &amp; Fringe'!$O$1:'Salary &amp; Fringe'!$O$300,'Salary &amp; Fringe'!$E$1:'Salary &amp; Fringe'!$E$300,"Senior Person 4",'Salary &amp; Fringe'!$F$1:'Salary &amp; Fringe'!$F$300,"Calendar(12)")</f>
        <v>0</v>
      </c>
      <c r="E7" s="70">
        <f>SUMIFS('Salary &amp; Fringe'!$O$1:'Salary &amp; Fringe'!$O$300,'Salary &amp; Fringe'!$E$1:'Salary &amp; Fringe'!$E$300,"Senior Person 4",'Salary &amp; Fringe'!$F$1:'Salary &amp; Fringe'!$F$300,"Academic")</f>
        <v>0</v>
      </c>
      <c r="F7" s="70">
        <f>SUMIFS('Salary &amp; Fringe'!$O$1:'Salary &amp; Fringe'!$O$300,'Salary &amp; Fringe'!$E$1:'Salary &amp; Fringe'!$E$300,"Senior Person 4",'Salary &amp; Fringe'!$F$1:'Salary &amp; Fringe'!$F$300,"Summer")</f>
        <v>0</v>
      </c>
      <c r="G7" s="129">
        <f>SUMIF('Salary &amp; Fringe'!$E$1:$E$300,"Senior Person 4",'Salary &amp; Fringe'!$Y$1:$Y$300)</f>
        <v>0</v>
      </c>
    </row>
    <row r="8" spans="1:7" x14ac:dyDescent="0.25">
      <c r="A8" s="18" t="s">
        <v>97</v>
      </c>
      <c r="B8" s="469" t="str">
        <f>IF(G8&gt;0,CONCATENATE((INDEX('Salary &amp; Fringe'!$A$1:$A$300,MATCH("Senior Person 5",'Salary &amp; Fringe'!$E$1:$E$300,FALSE),1))," ",(INDEX('Salary &amp; Fringe'!$B$1:$B$300,MATCH("Senior Person 5",'Salary &amp; Fringe'!$E$1:$E$300,FALSE),1))),"")</f>
        <v/>
      </c>
      <c r="C8" s="469"/>
      <c r="D8" s="70">
        <f>SUMIFS('Salary &amp; Fringe'!$O$1:'Salary &amp; Fringe'!$O$300,'Salary &amp; Fringe'!$E$1:'Salary &amp; Fringe'!$E$300,"Senior Person 5",'Salary &amp; Fringe'!$F$1:'Salary &amp; Fringe'!$F$300,"Calendar(12)")</f>
        <v>0</v>
      </c>
      <c r="E8" s="70">
        <f>SUMIFS('Salary &amp; Fringe'!$O$1:'Salary &amp; Fringe'!$O$300,'Salary &amp; Fringe'!$E$1:'Salary &amp; Fringe'!$E$300,"Senior Person 5",'Salary &amp; Fringe'!$F$1:'Salary &amp; Fringe'!$F$300,"Academic")</f>
        <v>0</v>
      </c>
      <c r="F8" s="70">
        <f>SUMIFS('Salary &amp; Fringe'!$O$1:'Salary &amp; Fringe'!$O$300,'Salary &amp; Fringe'!$E$1:'Salary &amp; Fringe'!$E$300,"Senior Person 5",'Salary &amp; Fringe'!$F$1:'Salary &amp; Fringe'!$F$300,"Summer")</f>
        <v>0</v>
      </c>
      <c r="G8" s="129">
        <f>SUMIF('Salary &amp; Fringe'!$E$1:$E$300,"Senior Person 5",'Salary &amp; Fringe'!$Y$1:$Y$300)</f>
        <v>0</v>
      </c>
    </row>
    <row r="9" spans="1:7" x14ac:dyDescent="0.25">
      <c r="A9" s="18" t="s">
        <v>98</v>
      </c>
      <c r="B9" s="72">
        <f>SUMIFS('Salary &amp; Fringe'!$I$1:$I$300,'Salary &amp; Fringe'!$E$1:$E$300,"Senior (Other)", 'Salary &amp; Fringe'!$O$1:'Salary &amp; Fringe'!$O$300, "&gt;0")</f>
        <v>0</v>
      </c>
      <c r="C9" s="19" t="s">
        <v>100</v>
      </c>
      <c r="D9" s="70">
        <f>SUMIFS('Salary &amp; Fringe'!$O$1:'Salary &amp; Fringe'!$O$300,'Salary &amp; Fringe'!$E$1:'Salary &amp; Fringe'!$E$300,"Senior (Other)",'Salary &amp; Fringe'!$F$1:'Salary &amp; Fringe'!$F$300,"Calendar(12)")</f>
        <v>0</v>
      </c>
      <c r="E9" s="70">
        <f>SUMIFS('Salary &amp; Fringe'!$O$1:'Salary &amp; Fringe'!$O$300,'Salary &amp; Fringe'!$E$1:'Salary &amp; Fringe'!$E$300,"Senior (Other)",'Salary &amp; Fringe'!$F$1:'Salary &amp; Fringe'!$F$300,"Academic")</f>
        <v>0</v>
      </c>
      <c r="F9" s="70">
        <f>SUMIFS('Salary &amp; Fringe'!$O$1:'Salary &amp; Fringe'!$O$300,'Salary &amp; Fringe'!$E$1:'Salary &amp; Fringe'!$E$300,"Senior (Other)",'Salary &amp; Fringe'!$F$1:'Salary &amp; Fringe'!$F$300,"Summer")</f>
        <v>0</v>
      </c>
      <c r="G9" s="129">
        <f>SUMIF('Salary &amp; Fringe'!$E$1:$E$300,"Senior (Other)",'Salary &amp; Fringe'!$Y$1:$Y$300)</f>
        <v>0</v>
      </c>
    </row>
    <row r="10" spans="1:7" x14ac:dyDescent="0.25">
      <c r="A10" s="18" t="s">
        <v>99</v>
      </c>
      <c r="B10" s="76">
        <f>(COUNTIF(G4:G8,"&gt;0")+B9)</f>
        <v>0</v>
      </c>
      <c r="C10" s="19" t="s">
        <v>128</v>
      </c>
      <c r="D10" s="74">
        <f>SUM(D4:D9)</f>
        <v>0</v>
      </c>
      <c r="E10" s="74">
        <f>SUM(E4:E9)</f>
        <v>0</v>
      </c>
      <c r="F10" s="74">
        <f>SUM(F4:F9)</f>
        <v>0</v>
      </c>
      <c r="G10" s="130">
        <f>SUM(G4:G9)</f>
        <v>0</v>
      </c>
    </row>
    <row r="11" spans="1:7" x14ac:dyDescent="0.25">
      <c r="A11" s="470" t="s">
        <v>102</v>
      </c>
      <c r="B11" s="471"/>
      <c r="C11" s="472"/>
      <c r="D11" s="11"/>
      <c r="E11" s="11"/>
      <c r="F11" s="11"/>
      <c r="G11" s="131"/>
    </row>
    <row r="12" spans="1:7" x14ac:dyDescent="0.25">
      <c r="A12" s="18" t="s">
        <v>93</v>
      </c>
      <c r="B12" s="72">
        <f>SUMIFS('Salary &amp; Fringe'!$I$1:$I$300,'Salary &amp; Fringe'!$E$1:$E$300,"Postdoc", 'Salary &amp; Fringe'!$O$1:'Salary &amp; Fringe'!$O$300, "&gt;0")</f>
        <v>0</v>
      </c>
      <c r="C12" s="73" t="s">
        <v>103</v>
      </c>
      <c r="D12" s="71">
        <f>SUMIF('Salary &amp; Fringe'!$E$1:$E$300,"Postdoc",'Salary &amp; Fringe'!$O$1:$O$300)</f>
        <v>0</v>
      </c>
      <c r="E12" s="70">
        <v>0</v>
      </c>
      <c r="F12" s="70">
        <v>0</v>
      </c>
      <c r="G12" s="129">
        <f>SUMIF('Salary &amp; Fringe'!$E$1:$E$300,"Postdoc",'Salary &amp; Fringe'!$Y$1:$Y$300)</f>
        <v>0</v>
      </c>
    </row>
    <row r="13" spans="1:7" x14ac:dyDescent="0.25">
      <c r="A13" s="18" t="s">
        <v>94</v>
      </c>
      <c r="B13" s="72">
        <f>SUMIFS('Salary &amp; Fringe'!$I$1:$I$300,'Salary &amp; Fringe'!$E$1:$E$300,"Professional (Other)", 'Salary &amp; Fringe'!$O$1:'Salary &amp; Fringe'!$O$300, "&gt;0")</f>
        <v>0</v>
      </c>
      <c r="C13" s="73" t="s">
        <v>104</v>
      </c>
      <c r="D13" s="71">
        <f>SUMIF('Salary &amp; Fringe'!$E$1:$E$300,"Professional (Other)",'Salary &amp; Fringe'!$O$1:$O$300)</f>
        <v>0</v>
      </c>
      <c r="E13" s="70">
        <v>0</v>
      </c>
      <c r="F13" s="70">
        <v>0</v>
      </c>
      <c r="G13" s="129">
        <f>SUMIF('Salary &amp; Fringe'!$E$1:$E$300,"Professional (Other)",'Salary &amp; Fringe'!$Y$1:$Y$300)</f>
        <v>0</v>
      </c>
    </row>
    <row r="14" spans="1:7" x14ac:dyDescent="0.25">
      <c r="A14" s="18" t="s">
        <v>95</v>
      </c>
      <c r="B14" s="139"/>
      <c r="C14" s="473" t="s">
        <v>105</v>
      </c>
      <c r="D14" s="473"/>
      <c r="E14" s="473"/>
      <c r="F14" s="473"/>
      <c r="G14" s="129">
        <f>SUMIF('Salary &amp; Fringe'!$E$1:$E$300,"Grad",'Salary &amp; Fringe'!$Y$1:$Y$300)</f>
        <v>0</v>
      </c>
    </row>
    <row r="15" spans="1:7" x14ac:dyDescent="0.25">
      <c r="A15" s="18" t="s">
        <v>96</v>
      </c>
      <c r="B15" s="233"/>
      <c r="C15" s="474" t="s">
        <v>106</v>
      </c>
      <c r="D15" s="474"/>
      <c r="E15" s="474"/>
      <c r="F15" s="474"/>
      <c r="G15" s="129">
        <f>SUMIF('Salary &amp; Fringe'!$E$1:$E$300,"Undergrad",'Salary &amp; Fringe'!$Y$1:$Y$300)</f>
        <v>0</v>
      </c>
    </row>
    <row r="16" spans="1:7" x14ac:dyDescent="0.25">
      <c r="A16" s="18" t="s">
        <v>97</v>
      </c>
      <c r="B16" s="72">
        <f>SUMIFS('Salary &amp; Fringe'!$I$1:$I$300,'Salary &amp; Fringe'!$E$1:$E$300,"Clerical", 'Salary &amp; Fringe'!$O$1:'Salary &amp; Fringe'!$O$300, "&gt;0")</f>
        <v>0</v>
      </c>
      <c r="C16" s="473" t="s">
        <v>107</v>
      </c>
      <c r="D16" s="473"/>
      <c r="E16" s="473"/>
      <c r="F16" s="473"/>
      <c r="G16" s="129">
        <f>SUMIF('Salary &amp; Fringe'!$E$1:$E$300,"Clerical",'Salary &amp; Fringe'!$Y$1:$Y$300)</f>
        <v>0</v>
      </c>
    </row>
    <row r="17" spans="1:7" x14ac:dyDescent="0.25">
      <c r="A17" s="18" t="s">
        <v>98</v>
      </c>
      <c r="B17" s="72">
        <f>SUMIFS('Salary &amp; Fringe'!$I$1:$I$300,'Salary &amp; Fringe'!$E$1:$E$300,"Other*", 'Salary &amp; Fringe'!$O$1:'Salary &amp; Fringe'!$O$300, "&gt;0")</f>
        <v>0</v>
      </c>
      <c r="C17" s="474" t="s">
        <v>53</v>
      </c>
      <c r="D17" s="474"/>
      <c r="E17" s="474"/>
      <c r="F17" s="474"/>
      <c r="G17" s="129">
        <f>SUMIF('Salary &amp; Fringe'!$E$1:$E$300,"Other*",'Salary &amp; Fringe'!$Y$1:$Y$300)</f>
        <v>0</v>
      </c>
    </row>
    <row r="18" spans="1:7" x14ac:dyDescent="0.25">
      <c r="A18" s="475" t="s">
        <v>108</v>
      </c>
      <c r="B18" s="476"/>
      <c r="C18" s="476"/>
      <c r="D18" s="476"/>
      <c r="E18" s="476"/>
      <c r="F18" s="477"/>
      <c r="G18" s="130">
        <f>SUM(G10,G12:G17)</f>
        <v>0</v>
      </c>
    </row>
    <row r="19" spans="1:7" x14ac:dyDescent="0.25">
      <c r="A19" s="470" t="s">
        <v>109</v>
      </c>
      <c r="B19" s="471"/>
      <c r="C19" s="471"/>
      <c r="D19" s="471"/>
      <c r="E19" s="471"/>
      <c r="F19" s="472"/>
      <c r="G19" s="130">
        <f ca="1">TotalFringe3</f>
        <v>0</v>
      </c>
    </row>
    <row r="20" spans="1:7" x14ac:dyDescent="0.25">
      <c r="A20" s="475" t="s">
        <v>110</v>
      </c>
      <c r="B20" s="476"/>
      <c r="C20" s="476"/>
      <c r="D20" s="476"/>
      <c r="E20" s="476"/>
      <c r="F20" s="477"/>
      <c r="G20" s="130">
        <f ca="1">G18+G19</f>
        <v>0</v>
      </c>
    </row>
    <row r="21" spans="1:7" x14ac:dyDescent="0.25">
      <c r="A21" s="478" t="s">
        <v>111</v>
      </c>
      <c r="B21" s="479"/>
      <c r="C21" s="479"/>
      <c r="D21" s="479"/>
      <c r="E21" s="479"/>
      <c r="F21" s="480"/>
      <c r="G21" s="130"/>
    </row>
    <row r="22" spans="1:7" x14ac:dyDescent="0.25">
      <c r="A22" s="481" t="str">
        <f>IF(ISBLANK(Budget!J47),"",Budget!A47)</f>
        <v/>
      </c>
      <c r="B22" s="481"/>
      <c r="C22" s="481"/>
      <c r="D22" s="482" t="str">
        <f>IF(Budget!J47&gt;0,Budget!J47,"")</f>
        <v/>
      </c>
      <c r="E22" s="482"/>
      <c r="F22" s="482"/>
      <c r="G22" s="132"/>
    </row>
    <row r="23" spans="1:7" x14ac:dyDescent="0.25">
      <c r="A23" s="481" t="str">
        <f>IF(ISBLANK(Budget!J48),"",Budget!A48)</f>
        <v/>
      </c>
      <c r="B23" s="481"/>
      <c r="C23" s="481"/>
      <c r="D23" s="482" t="str">
        <f>IF(Budget!J48&gt;0,Budget!J48,"")</f>
        <v/>
      </c>
      <c r="E23" s="482"/>
      <c r="F23" s="482"/>
      <c r="G23" s="133"/>
    </row>
    <row r="24" spans="1:7" x14ac:dyDescent="0.25">
      <c r="A24" s="481" t="str">
        <f>IF(ISBLANK(Budget!J49),"",Budget!A49)</f>
        <v/>
      </c>
      <c r="B24" s="481"/>
      <c r="C24" s="481"/>
      <c r="D24" s="482" t="str">
        <f>IF(Budget!J49&gt;0,Budget!J49,"")</f>
        <v/>
      </c>
      <c r="E24" s="482"/>
      <c r="F24" s="482"/>
      <c r="G24" s="133"/>
    </row>
    <row r="25" spans="1:7" x14ac:dyDescent="0.25">
      <c r="A25" s="481" t="str">
        <f>IF(ISBLANK(Budget!J50),"",Budget!A50)</f>
        <v/>
      </c>
      <c r="B25" s="481"/>
      <c r="C25" s="481"/>
      <c r="D25" s="482" t="str">
        <f>IF(Budget!J50&gt;0,Budget!J50,"")</f>
        <v/>
      </c>
      <c r="E25" s="482"/>
      <c r="F25" s="482"/>
      <c r="G25" s="133"/>
    </row>
    <row r="26" spans="1:7" x14ac:dyDescent="0.25">
      <c r="A26" s="481" t="str">
        <f>IF(ISBLANK(Budget!J51),"",Budget!A51)</f>
        <v/>
      </c>
      <c r="B26" s="481"/>
      <c r="C26" s="481"/>
      <c r="D26" s="482" t="str">
        <f>IF(Budget!J51&gt;0,Budget!J51,"")</f>
        <v/>
      </c>
      <c r="E26" s="482"/>
      <c r="F26" s="482"/>
      <c r="G26" s="133"/>
    </row>
    <row r="27" spans="1:7" x14ac:dyDescent="0.25">
      <c r="A27" s="475" t="s">
        <v>58</v>
      </c>
      <c r="B27" s="476"/>
      <c r="C27" s="476"/>
      <c r="D27" s="476"/>
      <c r="E27" s="476"/>
      <c r="F27" s="477"/>
      <c r="G27" s="130">
        <f>Budget!J52</f>
        <v>0</v>
      </c>
    </row>
    <row r="28" spans="1:7" x14ac:dyDescent="0.25">
      <c r="A28" s="489" t="s">
        <v>112</v>
      </c>
      <c r="B28" s="489"/>
      <c r="C28" s="489"/>
      <c r="D28" s="489"/>
      <c r="E28" s="489"/>
      <c r="F28" s="489"/>
      <c r="G28" s="134"/>
    </row>
    <row r="29" spans="1:7" x14ac:dyDescent="0.25">
      <c r="A29" s="481" t="s">
        <v>203</v>
      </c>
      <c r="B29" s="481"/>
      <c r="C29" s="481"/>
      <c r="D29" s="481"/>
      <c r="E29" s="481"/>
      <c r="F29" s="481"/>
      <c r="G29" s="130">
        <f>Budget!J39</f>
        <v>0</v>
      </c>
    </row>
    <row r="30" spans="1:7" x14ac:dyDescent="0.25">
      <c r="A30" s="488" t="s">
        <v>113</v>
      </c>
      <c r="B30" s="488"/>
      <c r="C30" s="488"/>
      <c r="D30" s="488"/>
      <c r="E30" s="488"/>
      <c r="F30" s="488"/>
      <c r="G30" s="130">
        <f>Budget!J44</f>
        <v>0</v>
      </c>
    </row>
    <row r="31" spans="1:7" x14ac:dyDescent="0.25">
      <c r="A31" s="478" t="s">
        <v>114</v>
      </c>
      <c r="B31" s="479"/>
      <c r="C31" s="479"/>
      <c r="D31" s="498"/>
      <c r="E31" s="498"/>
      <c r="F31" s="499"/>
      <c r="G31" s="135"/>
    </row>
    <row r="32" spans="1:7" x14ac:dyDescent="0.25">
      <c r="A32" s="474" t="s">
        <v>115</v>
      </c>
      <c r="B32" s="474"/>
      <c r="C32" s="44">
        <f>SUMIF(Budget!$A$2:$A$504,"PS Stipends",Budget!$J$2:$J$504)</f>
        <v>0</v>
      </c>
      <c r="D32" s="20"/>
      <c r="E32" s="21"/>
      <c r="F32" s="21"/>
      <c r="G32" s="136"/>
    </row>
    <row r="33" spans="1:7" x14ac:dyDescent="0.25">
      <c r="A33" s="474" t="s">
        <v>116</v>
      </c>
      <c r="B33" s="474"/>
      <c r="C33" s="44">
        <f>SUMIF(Budget!$A$2:$A$504,"PS Travel",Budget!$J$2:$J$504)</f>
        <v>0</v>
      </c>
      <c r="D33" s="22"/>
      <c r="E33" s="23"/>
      <c r="F33" s="23"/>
      <c r="G33" s="136"/>
    </row>
    <row r="34" spans="1:7" x14ac:dyDescent="0.25">
      <c r="A34" s="474" t="s">
        <v>117</v>
      </c>
      <c r="B34" s="474"/>
      <c r="C34" s="44">
        <f>SUMIF(Budget!$A$2:$A$504,"PS Subsistence",Budget!$J$2:$J$504)</f>
        <v>0</v>
      </c>
      <c r="D34" s="22"/>
      <c r="E34" s="23"/>
      <c r="F34" s="23"/>
      <c r="G34" s="136"/>
    </row>
    <row r="35" spans="1:7" x14ac:dyDescent="0.25">
      <c r="A35" s="474" t="s">
        <v>118</v>
      </c>
      <c r="B35" s="474"/>
      <c r="C35" s="44">
        <f>SUMIF(Budget!$A$2:$A$504,"PS Other",Budget!$J$2:$J$504)</f>
        <v>0</v>
      </c>
      <c r="D35" s="12"/>
      <c r="E35" s="13"/>
      <c r="F35" s="13"/>
      <c r="G35" s="137"/>
    </row>
    <row r="36" spans="1:7" x14ac:dyDescent="0.25">
      <c r="A36" s="503"/>
      <c r="B36" s="504"/>
      <c r="C36" s="500" t="s">
        <v>59</v>
      </c>
      <c r="D36" s="501"/>
      <c r="E36" s="501"/>
      <c r="F36" s="502"/>
      <c r="G36" s="130">
        <f>Budget!J57</f>
        <v>0</v>
      </c>
    </row>
    <row r="37" spans="1:7" x14ac:dyDescent="0.25">
      <c r="A37" s="489" t="s">
        <v>119</v>
      </c>
      <c r="B37" s="489"/>
      <c r="C37" s="489"/>
      <c r="D37" s="489"/>
      <c r="E37" s="489"/>
      <c r="F37" s="489"/>
      <c r="G37" s="134"/>
    </row>
    <row r="38" spans="1:7" x14ac:dyDescent="0.25">
      <c r="A38" s="474" t="s">
        <v>120</v>
      </c>
      <c r="B38" s="474"/>
      <c r="C38" s="474"/>
      <c r="D38" s="474"/>
      <c r="E38" s="474"/>
      <c r="F38" s="474"/>
      <c r="G38" s="138">
        <f>SUMIF(Budget!$A$2:$A$504,"Materials &amp; Supplies",Budget!$J$2:$J$504)</f>
        <v>0</v>
      </c>
    </row>
    <row r="39" spans="1:7" x14ac:dyDescent="0.25">
      <c r="A39" s="474" t="s">
        <v>121</v>
      </c>
      <c r="B39" s="474"/>
      <c r="C39" s="474"/>
      <c r="D39" s="474"/>
      <c r="E39" s="474"/>
      <c r="F39" s="474"/>
      <c r="G39" s="138">
        <f>SUMIF(Budget!$A$2:$A$504,"Publication Costs/Page Charges",Budget!$J$2:$J$504)</f>
        <v>0</v>
      </c>
    </row>
    <row r="40" spans="1:7" x14ac:dyDescent="0.25">
      <c r="A40" s="474" t="s">
        <v>122</v>
      </c>
      <c r="B40" s="474"/>
      <c r="C40" s="474"/>
      <c r="D40" s="474"/>
      <c r="E40" s="474"/>
      <c r="F40" s="474"/>
      <c r="G40" s="138">
        <f>SUMIF(Budget!$A$2:$A$504,"Consultant Services",Budget!$J$2:$J$504)</f>
        <v>0</v>
      </c>
    </row>
    <row r="41" spans="1:7" x14ac:dyDescent="0.25">
      <c r="A41" s="474" t="s">
        <v>123</v>
      </c>
      <c r="B41" s="474"/>
      <c r="C41" s="474"/>
      <c r="D41" s="474"/>
      <c r="E41" s="474"/>
      <c r="F41" s="474"/>
      <c r="G41" s="138">
        <f>SUMIF(Budget!$A$2:$A$504,"Computer (ADPE) Services",Budget!$J$2:$J$504)</f>
        <v>0</v>
      </c>
    </row>
    <row r="42" spans="1:7" x14ac:dyDescent="0.25">
      <c r="A42" s="474" t="s">
        <v>124</v>
      </c>
      <c r="B42" s="474"/>
      <c r="C42" s="474"/>
      <c r="D42" s="474"/>
      <c r="E42" s="474"/>
      <c r="F42" s="474"/>
      <c r="G42" s="138">
        <f ca="1">TotalSubs3+TotalMulti3</f>
        <v>0</v>
      </c>
    </row>
    <row r="43" spans="1:7" x14ac:dyDescent="0.25">
      <c r="A43" s="474" t="s">
        <v>125</v>
      </c>
      <c r="B43" s="474"/>
      <c r="C43" s="474"/>
      <c r="D43" s="474"/>
      <c r="E43" s="474"/>
      <c r="F43" s="474"/>
      <c r="G43" s="138">
        <f>SUMIF(Budget!$A$2:$A$504,"Vendor Contract",Budget!$J$2:$J$504)+SUMIF(Budget!$A$2:$A$504,"Service Agreement",Budget!$J$2:$J$504)+SUMIF(Budget!$A$2:$A$504,"Space Rentals",Budget!$J$2:$J$504)+SUMIF(Budget!$A$2:$A$504,"Other*",Budget!$J$2:$J$504)+SUMIF(Budget!$A$2:$A$504,"Equipment or Facility*",Budget!$J$2:$J$504)+TotalGSR3</f>
        <v>0</v>
      </c>
    </row>
    <row r="44" spans="1:7" x14ac:dyDescent="0.25">
      <c r="A44" s="497" t="s">
        <v>127</v>
      </c>
      <c r="B44" s="497"/>
      <c r="C44" s="497"/>
      <c r="D44" s="497"/>
      <c r="E44" s="497"/>
      <c r="F44" s="497"/>
      <c r="G44" s="130">
        <f ca="1">SUM(G38:G43)</f>
        <v>0</v>
      </c>
    </row>
    <row r="45" spans="1:7" x14ac:dyDescent="0.25">
      <c r="A45" s="489" t="s">
        <v>126</v>
      </c>
      <c r="B45" s="489"/>
      <c r="C45" s="489"/>
      <c r="D45" s="489"/>
      <c r="E45" s="489"/>
      <c r="F45" s="489"/>
      <c r="G45" s="130">
        <f ca="1">SUM(G20+G27+G29+G30+G36+G44)</f>
        <v>0</v>
      </c>
    </row>
    <row r="46" spans="1:7" x14ac:dyDescent="0.25">
      <c r="A46" s="491" t="s">
        <v>129</v>
      </c>
      <c r="B46" s="492"/>
      <c r="C46" s="492"/>
      <c r="D46" s="492"/>
      <c r="E46" s="492"/>
      <c r="F46" s="493"/>
      <c r="G46" s="134"/>
    </row>
    <row r="47" spans="1:7" x14ac:dyDescent="0.25">
      <c r="C47" s="57" t="str">
        <f>Budget!J105</f>
        <v xml:space="preserve"> </v>
      </c>
      <c r="D47" s="75" t="s">
        <v>130</v>
      </c>
      <c r="E47" s="45">
        <f ca="1">Budget!J101</f>
        <v>0</v>
      </c>
      <c r="F47" t="s">
        <v>55</v>
      </c>
      <c r="G47" s="130">
        <f ca="1">Budget!J109</f>
        <v>0</v>
      </c>
    </row>
    <row r="48" spans="1:7" x14ac:dyDescent="0.25">
      <c r="A48" s="478" t="s">
        <v>131</v>
      </c>
      <c r="B48" s="479"/>
      <c r="C48" s="479"/>
      <c r="D48" s="479"/>
      <c r="E48" s="479"/>
      <c r="F48" s="480"/>
      <c r="G48" s="130">
        <f ca="1">G45+G47</f>
        <v>0</v>
      </c>
    </row>
    <row r="49" spans="1:7" x14ac:dyDescent="0.25">
      <c r="A49" s="494" t="s">
        <v>213</v>
      </c>
      <c r="B49" s="495"/>
      <c r="C49" s="495"/>
      <c r="D49" s="495"/>
      <c r="E49" s="495"/>
      <c r="F49" s="496"/>
      <c r="G49" s="141"/>
    </row>
    <row r="50" spans="1:7" x14ac:dyDescent="0.25">
      <c r="A50" s="483" t="s">
        <v>132</v>
      </c>
      <c r="B50" s="484"/>
      <c r="C50" s="484"/>
      <c r="D50" s="484"/>
      <c r="E50" s="484"/>
      <c r="F50" s="485"/>
      <c r="G50" s="138">
        <f ca="1">IF(G49&gt;0, G48-G49, G48)</f>
        <v>0</v>
      </c>
    </row>
  </sheetData>
  <sheetProtection algorithmName="SHA-512" hashValue="q7GdD5LZE2V0Jpj0MWZRBxn1+uIDfqlGQuLmhg7CKnJEzbW30bDtXWU1V7i2YcM6RkwbeNlvmsPzDiPGt/zLZA==" saltValue="t56VFjm0ONSOL+k7hvPV/A==" spinCount="100000" sheet="1" objects="1" scenarios="1" selectLockedCells="1"/>
  <mergeCells count="52">
    <mergeCell ref="A1:G1"/>
    <mergeCell ref="A50:F50"/>
    <mergeCell ref="A23:C23"/>
    <mergeCell ref="D23:F23"/>
    <mergeCell ref="A24:C24"/>
    <mergeCell ref="D24:F24"/>
    <mergeCell ref="A25:C25"/>
    <mergeCell ref="D25:F25"/>
    <mergeCell ref="A43:F43"/>
    <mergeCell ref="A44:F44"/>
    <mergeCell ref="A45:F45"/>
    <mergeCell ref="A46:F46"/>
    <mergeCell ref="A48:F48"/>
    <mergeCell ref="A49:F49"/>
    <mergeCell ref="A37:F37"/>
    <mergeCell ref="A38:F38"/>
    <mergeCell ref="A39:F39"/>
    <mergeCell ref="A40:F40"/>
    <mergeCell ref="A41:F41"/>
    <mergeCell ref="A42:F42"/>
    <mergeCell ref="A31:F31"/>
    <mergeCell ref="A32:B32"/>
    <mergeCell ref="A33:B33"/>
    <mergeCell ref="A34:B34"/>
    <mergeCell ref="A35:B35"/>
    <mergeCell ref="A36:B36"/>
    <mergeCell ref="C36:F36"/>
    <mergeCell ref="A30:F30"/>
    <mergeCell ref="C17:F17"/>
    <mergeCell ref="A18:F18"/>
    <mergeCell ref="A19:F19"/>
    <mergeCell ref="A20:F20"/>
    <mergeCell ref="A21:F21"/>
    <mergeCell ref="A22:C22"/>
    <mergeCell ref="D22:F22"/>
    <mergeCell ref="A26:C26"/>
    <mergeCell ref="D26:F26"/>
    <mergeCell ref="A27:F27"/>
    <mergeCell ref="A28:F28"/>
    <mergeCell ref="A29:F29"/>
    <mergeCell ref="C16:F16"/>
    <mergeCell ref="A2:C3"/>
    <mergeCell ref="D2:F2"/>
    <mergeCell ref="G2:G3"/>
    <mergeCell ref="B4:C4"/>
    <mergeCell ref="B5:C5"/>
    <mergeCell ref="B6:C6"/>
    <mergeCell ref="B7:C7"/>
    <mergeCell ref="B8:C8"/>
    <mergeCell ref="A11:C11"/>
    <mergeCell ref="C14:F14"/>
    <mergeCell ref="C15:F15"/>
  </mergeCells>
  <phoneticPr fontId="9" type="noConversion"/>
  <pageMargins left="0.75" right="0.75" top="1" bottom="1" header="0.5" footer="0.5"/>
  <pageSetup scale="80" orientation="portrait" horizontalDpi="4294967292" verticalDpi="4294967292" r:id="rId1"/>
  <rowBreaks count="1" manualBreakCount="1">
    <brk id="50" max="16383" man="1"/>
  </rowBreaks>
  <colBreaks count="1" manualBreakCount="1">
    <brk id="7" max="1048575" man="1"/>
  </colBreak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G50"/>
  <sheetViews>
    <sheetView topLeftCell="A24" workbookViewId="0">
      <selection activeCell="G49" sqref="G49"/>
    </sheetView>
  </sheetViews>
  <sheetFormatPr defaultColWidth="11" defaultRowHeight="15.75" x14ac:dyDescent="0.25"/>
  <cols>
    <col min="1" max="1" width="5.875" customWidth="1"/>
    <col min="2" max="2" width="7" customWidth="1"/>
    <col min="3" max="3" width="43.625" customWidth="1"/>
    <col min="4" max="4" width="10.875" customWidth="1"/>
    <col min="7" max="7" width="14.625" customWidth="1"/>
  </cols>
  <sheetData>
    <row r="1" spans="1:7" s="140" customFormat="1" ht="24.95" customHeight="1" x14ac:dyDescent="0.25">
      <c r="A1" s="490" t="s">
        <v>275</v>
      </c>
      <c r="B1" s="490"/>
      <c r="C1" s="490"/>
      <c r="D1" s="490"/>
      <c r="E1" s="490"/>
      <c r="F1" s="490"/>
      <c r="G1" s="490"/>
    </row>
    <row r="2" spans="1:7" x14ac:dyDescent="0.25">
      <c r="A2" s="505" t="s">
        <v>101</v>
      </c>
      <c r="B2" s="506"/>
      <c r="C2" s="507"/>
      <c r="D2" s="468" t="s">
        <v>88</v>
      </c>
      <c r="E2" s="468"/>
      <c r="F2" s="468"/>
      <c r="G2" s="486" t="s">
        <v>92</v>
      </c>
    </row>
    <row r="3" spans="1:7" x14ac:dyDescent="0.25">
      <c r="A3" s="508"/>
      <c r="B3" s="509"/>
      <c r="C3" s="510"/>
      <c r="D3" s="74" t="s">
        <v>89</v>
      </c>
      <c r="E3" s="74" t="s">
        <v>90</v>
      </c>
      <c r="F3" s="74" t="s">
        <v>91</v>
      </c>
      <c r="G3" s="487"/>
    </row>
    <row r="4" spans="1:7" x14ac:dyDescent="0.25">
      <c r="A4" s="18" t="s">
        <v>93</v>
      </c>
      <c r="B4" s="469" t="str">
        <f>IF(G4&gt;0,CONCATENATE((INDEX('Salary &amp; Fringe'!$A$1:$A$300,MATCH("Senior Person 1",'Salary &amp; Fringe'!$E$1:$E$300,FALSE),1))," ",(INDEX('Salary &amp; Fringe'!$B$1:$B$300,MATCH("Senior Person 1",'Salary &amp; Fringe'!$E$1:$E$300,FALSE),1))),"")</f>
        <v/>
      </c>
      <c r="C4" s="469"/>
      <c r="D4" s="70">
        <f>SUMIFS('Salary &amp; Fringe'!$P$1:'Salary &amp; Fringe'!$P$300,'Salary &amp; Fringe'!$E$1:'Salary &amp; Fringe'!$E$300,"Senior Person 1",'Salary &amp; Fringe'!$F$1:'Salary &amp; Fringe'!$F$300,"Calendar(12)")</f>
        <v>0</v>
      </c>
      <c r="E4" s="70">
        <f>SUMIFS('Salary &amp; Fringe'!$P$1:'Salary &amp; Fringe'!$P$300,'Salary &amp; Fringe'!$E$1:'Salary &amp; Fringe'!$E$300,"Senior Person 1",'Salary &amp; Fringe'!$F$1:'Salary &amp; Fringe'!$F$300,"Academic")</f>
        <v>0</v>
      </c>
      <c r="F4" s="70">
        <f>SUMIFS('Salary &amp; Fringe'!$P$1:'Salary &amp; Fringe'!$P$300,'Salary &amp; Fringe'!$E$1:'Salary &amp; Fringe'!$E$300,"Senior Person 1",'Salary &amp; Fringe'!$F$1:'Salary &amp; Fringe'!$F$300,"Summer")</f>
        <v>0</v>
      </c>
      <c r="G4" s="129">
        <f>SUMIF('Salary &amp; Fringe'!$E$1:$E$300,"Senior Person 1",'Salary &amp; Fringe'!$Z$1:$Z$300)</f>
        <v>0</v>
      </c>
    </row>
    <row r="5" spans="1:7" x14ac:dyDescent="0.25">
      <c r="A5" s="18" t="s">
        <v>94</v>
      </c>
      <c r="B5" s="469" t="str">
        <f>IF(G5&gt;0,CONCATENATE((INDEX('Salary &amp; Fringe'!$A$1:$A$300,MATCH("Senior Person 2",'Salary &amp; Fringe'!$E$1:$E$300,FALSE),1))," ",(INDEX('Salary &amp; Fringe'!$B$1:$B$300,MATCH("Senior Person 2",'Salary &amp; Fringe'!$E$1:$E$300,FALSE),1))),"")</f>
        <v/>
      </c>
      <c r="C5" s="469"/>
      <c r="D5" s="70">
        <f>SUMIFS('Salary &amp; Fringe'!$P$1:'Salary &amp; Fringe'!$P$300,'Salary &amp; Fringe'!$E$1:'Salary &amp; Fringe'!$E$300,"Senior Person 2",'Salary &amp; Fringe'!$F$1:'Salary &amp; Fringe'!$F$300,"Calendar(12)")</f>
        <v>0</v>
      </c>
      <c r="E5" s="70">
        <f>SUMIFS('Salary &amp; Fringe'!$P$1:'Salary &amp; Fringe'!$P$300,'Salary &amp; Fringe'!$E$1:'Salary &amp; Fringe'!$E$300,"Senior Person 2",'Salary &amp; Fringe'!$F$1:'Salary &amp; Fringe'!$F$300,"Academic")</f>
        <v>0</v>
      </c>
      <c r="F5" s="70">
        <f>SUMIFS('Salary &amp; Fringe'!$P$1:'Salary &amp; Fringe'!$P$300,'Salary &amp; Fringe'!$E$1:'Salary &amp; Fringe'!$E$300,"Senior Person 2",'Salary &amp; Fringe'!$F$1:'Salary &amp; Fringe'!$F$300,"Summer")</f>
        <v>0</v>
      </c>
      <c r="G5" s="129">
        <f>SUMIF('Salary &amp; Fringe'!$E$1:$E$300,"Senior Person 2",'Salary &amp; Fringe'!$Z$1:$Z$300)</f>
        <v>0</v>
      </c>
    </row>
    <row r="6" spans="1:7" x14ac:dyDescent="0.25">
      <c r="A6" s="18" t="s">
        <v>95</v>
      </c>
      <c r="B6" s="469" t="str">
        <f>IF(G6&gt;0,CONCATENATE((INDEX('Salary &amp; Fringe'!$A$1:$A$300,MATCH("Senior Person 3",'Salary &amp; Fringe'!$E$1:$E$300,FALSE),1))," ",(INDEX('Salary &amp; Fringe'!$B$1:$B$300,MATCH("Senior Person 3",'Salary &amp; Fringe'!$E$1:$E$300,FALSE),1))),"")</f>
        <v/>
      </c>
      <c r="C6" s="469"/>
      <c r="D6" s="70">
        <f>SUMIFS('Salary &amp; Fringe'!$P$1:'Salary &amp; Fringe'!$P$300,'Salary &amp; Fringe'!$E$1:'Salary &amp; Fringe'!$E$300,"Senior Person 3",'Salary &amp; Fringe'!$F$1:'Salary &amp; Fringe'!$F$300,"Calendar(12)")</f>
        <v>0</v>
      </c>
      <c r="E6" s="70">
        <f>SUMIFS('Salary &amp; Fringe'!$P$1:'Salary &amp; Fringe'!$P$300,'Salary &amp; Fringe'!$E$1:'Salary &amp; Fringe'!$E$300,"Senior Person 3",'Salary &amp; Fringe'!$F$1:'Salary &amp; Fringe'!$F$300,"Academic")</f>
        <v>0</v>
      </c>
      <c r="F6" s="70">
        <f>SUMIFS('Salary &amp; Fringe'!$P$1:'Salary &amp; Fringe'!$P$300,'Salary &amp; Fringe'!$E$1:'Salary &amp; Fringe'!$E$300,"Senior Person 3",'Salary &amp; Fringe'!$F$1:'Salary &amp; Fringe'!$F$300,"Summer")</f>
        <v>0</v>
      </c>
      <c r="G6" s="129">
        <f>SUMIF('Salary &amp; Fringe'!$E$1:$E$300,"Senior Person 3",'Salary &amp; Fringe'!$Z$1:$Z$300)</f>
        <v>0</v>
      </c>
    </row>
    <row r="7" spans="1:7" x14ac:dyDescent="0.25">
      <c r="A7" s="18" t="s">
        <v>96</v>
      </c>
      <c r="B7" s="469" t="str">
        <f>IF(G7&gt;0,CONCATENATE((INDEX('Salary &amp; Fringe'!$A$1:$A$300,MATCH("Senior Person 4",'Salary &amp; Fringe'!$E$1:$E$300,FALSE),1))," ",(INDEX('Salary &amp; Fringe'!$B$1:$B$300,MATCH("Senior Person 4",'Salary &amp; Fringe'!$E$1:$E$300,FALSE),1))),"")</f>
        <v/>
      </c>
      <c r="C7" s="469"/>
      <c r="D7" s="70">
        <f>SUMIFS('Salary &amp; Fringe'!$P$1:'Salary &amp; Fringe'!$P$300,'Salary &amp; Fringe'!$E$1:'Salary &amp; Fringe'!$E$300,"Senior Person 4",'Salary &amp; Fringe'!$F$1:'Salary &amp; Fringe'!$F$300,"Calendar(12)")</f>
        <v>0</v>
      </c>
      <c r="E7" s="70">
        <f>SUMIFS('Salary &amp; Fringe'!$P$1:'Salary &amp; Fringe'!$P$300,'Salary &amp; Fringe'!$E$1:'Salary &amp; Fringe'!$E$300,"Senior Person 4",'Salary &amp; Fringe'!$F$1:'Salary &amp; Fringe'!$F$300,"Academic")</f>
        <v>0</v>
      </c>
      <c r="F7" s="70">
        <f>SUMIFS('Salary &amp; Fringe'!$P$1:'Salary &amp; Fringe'!$P$300,'Salary &amp; Fringe'!$E$1:'Salary &amp; Fringe'!$E$300,"Senior Person 4",'Salary &amp; Fringe'!$F$1:'Salary &amp; Fringe'!$F$300,"Summer")</f>
        <v>0</v>
      </c>
      <c r="G7" s="129">
        <f>SUMIF('Salary &amp; Fringe'!$E$1:$E$300,"Senior Person 4",'Salary &amp; Fringe'!$Z$1:$Z$300)</f>
        <v>0</v>
      </c>
    </row>
    <row r="8" spans="1:7" x14ac:dyDescent="0.25">
      <c r="A8" s="18" t="s">
        <v>97</v>
      </c>
      <c r="B8" s="469" t="str">
        <f>IF(G8&gt;0,CONCATENATE((INDEX('Salary &amp; Fringe'!$A$1:$A$300,MATCH("Senior Person 5",'Salary &amp; Fringe'!$E$1:$E$300,FALSE),1))," ",(INDEX('Salary &amp; Fringe'!$B$1:$B$300,MATCH("Senior Person 5",'Salary &amp; Fringe'!$E$1:$E$300,FALSE),1))),"")</f>
        <v/>
      </c>
      <c r="C8" s="469"/>
      <c r="D8" s="70">
        <f>SUMIFS('Salary &amp; Fringe'!$P$1:'Salary &amp; Fringe'!$P$300,'Salary &amp; Fringe'!$E$1:'Salary &amp; Fringe'!$E$300,"Senior Person 5",'Salary &amp; Fringe'!$F$1:'Salary &amp; Fringe'!$F$300,"Calendar(12)")</f>
        <v>0</v>
      </c>
      <c r="E8" s="70">
        <f>SUMIFS('Salary &amp; Fringe'!$P$1:'Salary &amp; Fringe'!$P$300,'Salary &amp; Fringe'!$E$1:'Salary &amp; Fringe'!$E$300,"Senior Person 5",'Salary &amp; Fringe'!$F$1:'Salary &amp; Fringe'!$F$300,"Academic")</f>
        <v>0</v>
      </c>
      <c r="F8" s="70">
        <f>SUMIFS('Salary &amp; Fringe'!$P$1:'Salary &amp; Fringe'!$P$300,'Salary &amp; Fringe'!$E$1:'Salary &amp; Fringe'!$E$300,"Senior Person 5",'Salary &amp; Fringe'!$F$1:'Salary &amp; Fringe'!$F$300,"Summer")</f>
        <v>0</v>
      </c>
      <c r="G8" s="129">
        <f>SUMIF('Salary &amp; Fringe'!$E$1:$E$300,"Senior Person 5",'Salary &amp; Fringe'!$Z$1:$Z$300)</f>
        <v>0</v>
      </c>
    </row>
    <row r="9" spans="1:7" x14ac:dyDescent="0.25">
      <c r="A9" s="18" t="s">
        <v>98</v>
      </c>
      <c r="B9" s="72">
        <f>SUMIFS('Salary &amp; Fringe'!$I$1:$I$300,'Salary &amp; Fringe'!$E$1:$E$300,"Senior (Other)", 'Salary &amp; Fringe'!$P$1:'Salary &amp; Fringe'!$P$300, "&gt;0")</f>
        <v>0</v>
      </c>
      <c r="C9" s="19" t="s">
        <v>100</v>
      </c>
      <c r="D9" s="70">
        <f>SUMIFS('Salary &amp; Fringe'!$P$1:'Salary &amp; Fringe'!$P$300,'Salary &amp; Fringe'!$E$1:'Salary &amp; Fringe'!$E$300,"Senior (Other)",'Salary &amp; Fringe'!$F$1:'Salary &amp; Fringe'!$F$300,"Calendar(12)")</f>
        <v>0</v>
      </c>
      <c r="E9" s="70">
        <f>SUMIFS('Salary &amp; Fringe'!$P$1:'Salary &amp; Fringe'!$P$300,'Salary &amp; Fringe'!$E$1:'Salary &amp; Fringe'!$E$300,"Senior (Other)",'Salary &amp; Fringe'!$F$1:'Salary &amp; Fringe'!$F$300,"Academic")</f>
        <v>0</v>
      </c>
      <c r="F9" s="70">
        <f>SUMIFS('Salary &amp; Fringe'!$P$1:'Salary &amp; Fringe'!$P$300,'Salary &amp; Fringe'!$E$1:'Salary &amp; Fringe'!$E$300,"Senior (Other)",'Salary &amp; Fringe'!$F$1:'Salary &amp; Fringe'!$F$300,"Summer")</f>
        <v>0</v>
      </c>
      <c r="G9" s="129">
        <f>SUMIF('Salary &amp; Fringe'!$E$1:$E$300,"Senior (Other)",'Salary &amp; Fringe'!$Z$1:$Z$300)</f>
        <v>0</v>
      </c>
    </row>
    <row r="10" spans="1:7" x14ac:dyDescent="0.25">
      <c r="A10" s="18" t="s">
        <v>99</v>
      </c>
      <c r="B10" s="76">
        <f>(COUNTIF(G4:G8,"&gt;0")+B9)</f>
        <v>0</v>
      </c>
      <c r="C10" s="19" t="s">
        <v>128</v>
      </c>
      <c r="D10" s="74">
        <f>SUM(D4:D9)</f>
        <v>0</v>
      </c>
      <c r="E10" s="74">
        <f>SUM(E4:E9)</f>
        <v>0</v>
      </c>
      <c r="F10" s="74">
        <f>SUM(F4:F9)</f>
        <v>0</v>
      </c>
      <c r="G10" s="130">
        <f>SUM(G4:G9)</f>
        <v>0</v>
      </c>
    </row>
    <row r="11" spans="1:7" x14ac:dyDescent="0.25">
      <c r="A11" s="470" t="s">
        <v>102</v>
      </c>
      <c r="B11" s="471"/>
      <c r="C11" s="472"/>
      <c r="D11" s="11"/>
      <c r="E11" s="11"/>
      <c r="F11" s="11"/>
      <c r="G11" s="131"/>
    </row>
    <row r="12" spans="1:7" x14ac:dyDescent="0.25">
      <c r="A12" s="18" t="s">
        <v>93</v>
      </c>
      <c r="B12" s="72">
        <f>SUMIFS('Salary &amp; Fringe'!$I$1:$I$300,'Salary &amp; Fringe'!$E$1:$E$300,"Postdoc", 'Salary &amp; Fringe'!$P$1:'Salary &amp; Fringe'!$P$300, "&gt;0")</f>
        <v>0</v>
      </c>
      <c r="C12" s="73" t="s">
        <v>103</v>
      </c>
      <c r="D12" s="71">
        <f>SUMIF('Salary &amp; Fringe'!$E$1:$E$300,"Postdoc",'Salary &amp; Fringe'!$P$1:$P$300)</f>
        <v>0</v>
      </c>
      <c r="E12" s="70">
        <v>0</v>
      </c>
      <c r="F12" s="70">
        <v>0</v>
      </c>
      <c r="G12" s="129">
        <f>SUMIF('Salary &amp; Fringe'!$E$1:$E$300,"Postdoc",'Salary &amp; Fringe'!$Z$1:$Z$300)</f>
        <v>0</v>
      </c>
    </row>
    <row r="13" spans="1:7" x14ac:dyDescent="0.25">
      <c r="A13" s="18" t="s">
        <v>94</v>
      </c>
      <c r="B13" s="72">
        <f>SUMIFS('Salary &amp; Fringe'!$I$1:$I$300,'Salary &amp; Fringe'!$E$1:$E$300,"Professional (Other)", 'Salary &amp; Fringe'!$P$1:'Salary &amp; Fringe'!$P$300, "&gt;0")</f>
        <v>0</v>
      </c>
      <c r="C13" s="73" t="s">
        <v>104</v>
      </c>
      <c r="D13" s="71">
        <f>SUMIF('Salary &amp; Fringe'!$E$1:$E$300,"Professional (Other)",'Salary &amp; Fringe'!$P$1:$P$300)</f>
        <v>0</v>
      </c>
      <c r="E13" s="70">
        <v>0</v>
      </c>
      <c r="F13" s="70">
        <v>0</v>
      </c>
      <c r="G13" s="129">
        <f>SUMIF('Salary &amp; Fringe'!$E$1:$E$300,"Professional (Other)",'Salary &amp; Fringe'!$Z$1:$Z$300)</f>
        <v>0</v>
      </c>
    </row>
    <row r="14" spans="1:7" x14ac:dyDescent="0.25">
      <c r="A14" s="18" t="s">
        <v>95</v>
      </c>
      <c r="B14" s="139"/>
      <c r="C14" s="473" t="s">
        <v>105</v>
      </c>
      <c r="D14" s="473"/>
      <c r="E14" s="473"/>
      <c r="F14" s="473"/>
      <c r="G14" s="129">
        <f>SUMIF('Salary &amp; Fringe'!$E$1:$E$300,"Grad",'Salary &amp; Fringe'!$Z$1:$Z$300)</f>
        <v>0</v>
      </c>
    </row>
    <row r="15" spans="1:7" x14ac:dyDescent="0.25">
      <c r="A15" s="18" t="s">
        <v>96</v>
      </c>
      <c r="B15" s="233"/>
      <c r="C15" s="474" t="s">
        <v>106</v>
      </c>
      <c r="D15" s="474"/>
      <c r="E15" s="474"/>
      <c r="F15" s="474"/>
      <c r="G15" s="129">
        <f>SUMIF('Salary &amp; Fringe'!$E$1:$E$300,"Undergrad",'Salary &amp; Fringe'!$Z$1:$Z$300)</f>
        <v>0</v>
      </c>
    </row>
    <row r="16" spans="1:7" x14ac:dyDescent="0.25">
      <c r="A16" s="18" t="s">
        <v>97</v>
      </c>
      <c r="B16" s="72">
        <f>SUMIFS('Salary &amp; Fringe'!$I$1:$I$300,'Salary &amp; Fringe'!$E$1:$E$300,"Clerical", 'Salary &amp; Fringe'!$P$1:'Salary &amp; Fringe'!$P$300, "&gt;0")</f>
        <v>0</v>
      </c>
      <c r="C16" s="473" t="s">
        <v>107</v>
      </c>
      <c r="D16" s="473"/>
      <c r="E16" s="473"/>
      <c r="F16" s="473"/>
      <c r="G16" s="129">
        <f>SUMIF('Salary &amp; Fringe'!$E$1:$E$300,"Clerical",'Salary &amp; Fringe'!$Z$1:$Z$300)</f>
        <v>0</v>
      </c>
    </row>
    <row r="17" spans="1:7" x14ac:dyDescent="0.25">
      <c r="A17" s="18" t="s">
        <v>98</v>
      </c>
      <c r="B17" s="72">
        <f>SUMIFS('Salary &amp; Fringe'!$I$1:$I$300,'Salary &amp; Fringe'!$E$1:$E$300,"Other*", 'Salary &amp; Fringe'!$P$1:'Salary &amp; Fringe'!$P$300, "&gt;0")</f>
        <v>0</v>
      </c>
      <c r="C17" s="474" t="s">
        <v>53</v>
      </c>
      <c r="D17" s="474"/>
      <c r="E17" s="474"/>
      <c r="F17" s="474"/>
      <c r="G17" s="129">
        <f>SUMIF('Salary &amp; Fringe'!$E$1:$E$300,"Other*",'Salary &amp; Fringe'!$Z$1:$Z$300)</f>
        <v>0</v>
      </c>
    </row>
    <row r="18" spans="1:7" x14ac:dyDescent="0.25">
      <c r="A18" s="475" t="s">
        <v>108</v>
      </c>
      <c r="B18" s="476"/>
      <c r="C18" s="476"/>
      <c r="D18" s="476"/>
      <c r="E18" s="476"/>
      <c r="F18" s="477"/>
      <c r="G18" s="130">
        <f>SUM(G10,G12:G17)</f>
        <v>0</v>
      </c>
    </row>
    <row r="19" spans="1:7" x14ac:dyDescent="0.25">
      <c r="A19" s="470" t="s">
        <v>109</v>
      </c>
      <c r="B19" s="471"/>
      <c r="C19" s="471"/>
      <c r="D19" s="471"/>
      <c r="E19" s="471"/>
      <c r="F19" s="472"/>
      <c r="G19" s="130">
        <f ca="1">TotalFringe4</f>
        <v>0</v>
      </c>
    </row>
    <row r="20" spans="1:7" x14ac:dyDescent="0.25">
      <c r="A20" s="475" t="s">
        <v>110</v>
      </c>
      <c r="B20" s="476"/>
      <c r="C20" s="476"/>
      <c r="D20" s="476"/>
      <c r="E20" s="476"/>
      <c r="F20" s="477"/>
      <c r="G20" s="130">
        <f ca="1">G18+G19</f>
        <v>0</v>
      </c>
    </row>
    <row r="21" spans="1:7" x14ac:dyDescent="0.25">
      <c r="A21" s="478" t="s">
        <v>111</v>
      </c>
      <c r="B21" s="479"/>
      <c r="C21" s="479"/>
      <c r="D21" s="479"/>
      <c r="E21" s="479"/>
      <c r="F21" s="480"/>
      <c r="G21" s="130"/>
    </row>
    <row r="22" spans="1:7" x14ac:dyDescent="0.25">
      <c r="A22" s="481" t="str">
        <f>IF(ISBLANK(Budget!L47),"",Budget!A47)</f>
        <v/>
      </c>
      <c r="B22" s="481"/>
      <c r="C22" s="481"/>
      <c r="D22" s="482" t="str">
        <f>IF(Budget!L47&gt;0,Budget!L47,"")</f>
        <v/>
      </c>
      <c r="E22" s="482"/>
      <c r="F22" s="482"/>
      <c r="G22" s="132"/>
    </row>
    <row r="23" spans="1:7" x14ac:dyDescent="0.25">
      <c r="A23" s="481" t="str">
        <f>IF(ISBLANK(Budget!L48),"",Budget!A48)</f>
        <v/>
      </c>
      <c r="B23" s="481"/>
      <c r="C23" s="481"/>
      <c r="D23" s="482" t="str">
        <f>IF(Budget!L48&gt;0,Budget!L48,"")</f>
        <v/>
      </c>
      <c r="E23" s="482"/>
      <c r="F23" s="482"/>
      <c r="G23" s="133"/>
    </row>
    <row r="24" spans="1:7" x14ac:dyDescent="0.25">
      <c r="A24" s="481" t="str">
        <f>IF(ISBLANK(Budget!L49),"",Budget!A49)</f>
        <v/>
      </c>
      <c r="B24" s="481"/>
      <c r="C24" s="481"/>
      <c r="D24" s="482" t="str">
        <f>IF(Budget!L49&gt;0,Budget!L49,"")</f>
        <v/>
      </c>
      <c r="E24" s="482"/>
      <c r="F24" s="482"/>
      <c r="G24" s="133"/>
    </row>
    <row r="25" spans="1:7" x14ac:dyDescent="0.25">
      <c r="A25" s="481" t="str">
        <f>IF(ISBLANK(Budget!L50),"",Budget!A50)</f>
        <v/>
      </c>
      <c r="B25" s="481"/>
      <c r="C25" s="481"/>
      <c r="D25" s="482" t="str">
        <f>IF(Budget!L50&gt;0,Budget!L50,"")</f>
        <v/>
      </c>
      <c r="E25" s="482"/>
      <c r="F25" s="482"/>
      <c r="G25" s="133"/>
    </row>
    <row r="26" spans="1:7" x14ac:dyDescent="0.25">
      <c r="A26" s="481" t="str">
        <f>IF(ISBLANK(Budget!L51),"",Budget!A51)</f>
        <v/>
      </c>
      <c r="B26" s="481"/>
      <c r="C26" s="481"/>
      <c r="D26" s="482" t="str">
        <f>IF(Budget!L51&gt;0,Budget!L51,"")</f>
        <v/>
      </c>
      <c r="E26" s="482"/>
      <c r="F26" s="482"/>
      <c r="G26" s="133"/>
    </row>
    <row r="27" spans="1:7" x14ac:dyDescent="0.25">
      <c r="A27" s="475" t="s">
        <v>58</v>
      </c>
      <c r="B27" s="476"/>
      <c r="C27" s="476"/>
      <c r="D27" s="476"/>
      <c r="E27" s="476"/>
      <c r="F27" s="477"/>
      <c r="G27" s="130">
        <f>Budget!L52</f>
        <v>0</v>
      </c>
    </row>
    <row r="28" spans="1:7" x14ac:dyDescent="0.25">
      <c r="A28" s="489" t="s">
        <v>112</v>
      </c>
      <c r="B28" s="489"/>
      <c r="C28" s="489"/>
      <c r="D28" s="489"/>
      <c r="E28" s="489"/>
      <c r="F28" s="489"/>
      <c r="G28" s="134"/>
    </row>
    <row r="29" spans="1:7" x14ac:dyDescent="0.25">
      <c r="A29" s="481" t="s">
        <v>203</v>
      </c>
      <c r="B29" s="481"/>
      <c r="C29" s="481"/>
      <c r="D29" s="481"/>
      <c r="E29" s="481"/>
      <c r="F29" s="481"/>
      <c r="G29" s="130">
        <f>Budget!L39</f>
        <v>0</v>
      </c>
    </row>
    <row r="30" spans="1:7" x14ac:dyDescent="0.25">
      <c r="A30" s="488" t="s">
        <v>113</v>
      </c>
      <c r="B30" s="488"/>
      <c r="C30" s="488"/>
      <c r="D30" s="488"/>
      <c r="E30" s="488"/>
      <c r="F30" s="488"/>
      <c r="G30" s="130">
        <f>Budget!L44</f>
        <v>0</v>
      </c>
    </row>
    <row r="31" spans="1:7" x14ac:dyDescent="0.25">
      <c r="A31" s="478" t="s">
        <v>114</v>
      </c>
      <c r="B31" s="479"/>
      <c r="C31" s="479"/>
      <c r="D31" s="498"/>
      <c r="E31" s="498"/>
      <c r="F31" s="499"/>
      <c r="G31" s="135"/>
    </row>
    <row r="32" spans="1:7" x14ac:dyDescent="0.25">
      <c r="A32" s="474" t="s">
        <v>115</v>
      </c>
      <c r="B32" s="474"/>
      <c r="C32" s="44">
        <f>SUMIF(Budget!$A$2:$A$504,"PS Stipends",Budget!$L$2:$L$504)</f>
        <v>0</v>
      </c>
      <c r="D32" s="20"/>
      <c r="E32" s="21"/>
      <c r="F32" s="21"/>
      <c r="G32" s="136"/>
    </row>
    <row r="33" spans="1:7" x14ac:dyDescent="0.25">
      <c r="A33" s="474" t="s">
        <v>116</v>
      </c>
      <c r="B33" s="474"/>
      <c r="C33" s="44">
        <f>SUMIF(Budget!$A$2:$A$504,"PS Travel",Budget!$L$2:$L$504)</f>
        <v>0</v>
      </c>
      <c r="D33" s="22"/>
      <c r="E33" s="23"/>
      <c r="F33" s="23"/>
      <c r="G33" s="136"/>
    </row>
    <row r="34" spans="1:7" x14ac:dyDescent="0.25">
      <c r="A34" s="474" t="s">
        <v>117</v>
      </c>
      <c r="B34" s="474"/>
      <c r="C34" s="44">
        <f>SUMIF(Budget!$A$2:$A$504,"PS Subsistence",Budget!$L$2:$L$504)</f>
        <v>0</v>
      </c>
      <c r="D34" s="22"/>
      <c r="E34" s="23"/>
      <c r="F34" s="23"/>
      <c r="G34" s="136"/>
    </row>
    <row r="35" spans="1:7" x14ac:dyDescent="0.25">
      <c r="A35" s="474" t="s">
        <v>118</v>
      </c>
      <c r="B35" s="474"/>
      <c r="C35" s="44">
        <f>SUMIF(Budget!$A$2:$A$504,"PS Other",Budget!$L$2:$L$504)</f>
        <v>0</v>
      </c>
      <c r="D35" s="12"/>
      <c r="E35" s="13"/>
      <c r="F35" s="13"/>
      <c r="G35" s="137"/>
    </row>
    <row r="36" spans="1:7" x14ac:dyDescent="0.25">
      <c r="A36" s="503"/>
      <c r="B36" s="504"/>
      <c r="C36" s="500" t="s">
        <v>59</v>
      </c>
      <c r="D36" s="501"/>
      <c r="E36" s="501"/>
      <c r="F36" s="502"/>
      <c r="G36" s="130">
        <f>Budget!L57</f>
        <v>0</v>
      </c>
    </row>
    <row r="37" spans="1:7" x14ac:dyDescent="0.25">
      <c r="A37" s="489" t="s">
        <v>119</v>
      </c>
      <c r="B37" s="489"/>
      <c r="C37" s="489"/>
      <c r="D37" s="489"/>
      <c r="E37" s="489"/>
      <c r="F37" s="489"/>
      <c r="G37" s="134"/>
    </row>
    <row r="38" spans="1:7" x14ac:dyDescent="0.25">
      <c r="A38" s="474" t="s">
        <v>120</v>
      </c>
      <c r="B38" s="474"/>
      <c r="C38" s="474"/>
      <c r="D38" s="474"/>
      <c r="E38" s="474"/>
      <c r="F38" s="474"/>
      <c r="G38" s="138">
        <f>SUMIF(Budget!$A$2:$A$504,"Materials &amp; Supplies",Budget!$L$2:$L$504)</f>
        <v>0</v>
      </c>
    </row>
    <row r="39" spans="1:7" x14ac:dyDescent="0.25">
      <c r="A39" s="474" t="s">
        <v>121</v>
      </c>
      <c r="B39" s="474"/>
      <c r="C39" s="474"/>
      <c r="D39" s="474"/>
      <c r="E39" s="474"/>
      <c r="F39" s="474"/>
      <c r="G39" s="138">
        <f>SUMIF(Budget!$A$2:$A$504,"Publication Costs/Page Charges",Budget!$L$2:$L$504)</f>
        <v>0</v>
      </c>
    </row>
    <row r="40" spans="1:7" x14ac:dyDescent="0.25">
      <c r="A40" s="474" t="s">
        <v>122</v>
      </c>
      <c r="B40" s="474"/>
      <c r="C40" s="474"/>
      <c r="D40" s="474"/>
      <c r="E40" s="474"/>
      <c r="F40" s="474"/>
      <c r="G40" s="138">
        <f>SUMIF(Budget!$A$2:$A$504,"Consultant Services",Budget!$L$2:$L$504)</f>
        <v>0</v>
      </c>
    </row>
    <row r="41" spans="1:7" x14ac:dyDescent="0.25">
      <c r="A41" s="474" t="s">
        <v>123</v>
      </c>
      <c r="B41" s="474"/>
      <c r="C41" s="474"/>
      <c r="D41" s="474"/>
      <c r="E41" s="474"/>
      <c r="F41" s="474"/>
      <c r="G41" s="138">
        <f>SUMIF(Budget!$A$2:$A$504,"Computer (ADPE) Services",Budget!$L$2:$L$504)</f>
        <v>0</v>
      </c>
    </row>
    <row r="42" spans="1:7" x14ac:dyDescent="0.25">
      <c r="A42" s="474" t="s">
        <v>124</v>
      </c>
      <c r="B42" s="474"/>
      <c r="C42" s="474"/>
      <c r="D42" s="474"/>
      <c r="E42" s="474"/>
      <c r="F42" s="474"/>
      <c r="G42" s="138">
        <f ca="1">TotalSubs4+TotalMulti4</f>
        <v>0</v>
      </c>
    </row>
    <row r="43" spans="1:7" x14ac:dyDescent="0.25">
      <c r="A43" s="474" t="s">
        <v>125</v>
      </c>
      <c r="B43" s="474"/>
      <c r="C43" s="474"/>
      <c r="D43" s="474"/>
      <c r="E43" s="474"/>
      <c r="F43" s="474"/>
      <c r="G43" s="138">
        <f>SUMIF(Budget!$A$2:$A$504,"Vendor Contract",Budget!$L$2:$L$504)+SUMIF(Budget!$A$2:$A$504,"Service Agreement",Budget!$L$2:$L$504)+SUMIF(Budget!$A$2:$A$504,"Space Rentals",Budget!$L$2:$L$504)+SUMIF(Budget!$A$2:$A$504,"Other*",Budget!$L$2:$L$504)+SUMIF(Budget!$A$2:$A$504,"Equipment or Facility*",Budget!$L$2:$L$504)+TotalGSR4</f>
        <v>0</v>
      </c>
    </row>
    <row r="44" spans="1:7" x14ac:dyDescent="0.25">
      <c r="A44" s="497" t="s">
        <v>127</v>
      </c>
      <c r="B44" s="497"/>
      <c r="C44" s="497"/>
      <c r="D44" s="497"/>
      <c r="E44" s="497"/>
      <c r="F44" s="497"/>
      <c r="G44" s="130">
        <f ca="1">SUM(G38:G43)</f>
        <v>0</v>
      </c>
    </row>
    <row r="45" spans="1:7" x14ac:dyDescent="0.25">
      <c r="A45" s="489" t="s">
        <v>126</v>
      </c>
      <c r="B45" s="489"/>
      <c r="C45" s="489"/>
      <c r="D45" s="489"/>
      <c r="E45" s="489"/>
      <c r="F45" s="489"/>
      <c r="G45" s="130">
        <f ca="1">SUM(G20+G27+G29+G30+G36+G44)</f>
        <v>0</v>
      </c>
    </row>
    <row r="46" spans="1:7" x14ac:dyDescent="0.25">
      <c r="A46" s="491" t="s">
        <v>129</v>
      </c>
      <c r="B46" s="492"/>
      <c r="C46" s="492"/>
      <c r="D46" s="492"/>
      <c r="E46" s="492"/>
      <c r="F46" s="493"/>
      <c r="G46" s="134"/>
    </row>
    <row r="47" spans="1:7" x14ac:dyDescent="0.25">
      <c r="C47" s="57" t="str">
        <f>Budget!L105</f>
        <v xml:space="preserve"> </v>
      </c>
      <c r="D47" s="75" t="s">
        <v>130</v>
      </c>
      <c r="E47" s="45">
        <f ca="1">Budget!L101</f>
        <v>0</v>
      </c>
      <c r="F47" t="s">
        <v>55</v>
      </c>
      <c r="G47" s="130">
        <f ca="1">Budget!L109</f>
        <v>0</v>
      </c>
    </row>
    <row r="48" spans="1:7" x14ac:dyDescent="0.25">
      <c r="A48" s="478" t="s">
        <v>131</v>
      </c>
      <c r="B48" s="479"/>
      <c r="C48" s="479"/>
      <c r="D48" s="479"/>
      <c r="E48" s="479"/>
      <c r="F48" s="480"/>
      <c r="G48" s="130">
        <f ca="1">G45+G47</f>
        <v>0</v>
      </c>
    </row>
    <row r="49" spans="1:7" x14ac:dyDescent="0.25">
      <c r="A49" s="494" t="s">
        <v>213</v>
      </c>
      <c r="B49" s="495"/>
      <c r="C49" s="495"/>
      <c r="D49" s="495"/>
      <c r="E49" s="495"/>
      <c r="F49" s="496"/>
      <c r="G49" s="141"/>
    </row>
    <row r="50" spans="1:7" x14ac:dyDescent="0.25">
      <c r="A50" s="483" t="s">
        <v>132</v>
      </c>
      <c r="B50" s="484"/>
      <c r="C50" s="484"/>
      <c r="D50" s="484"/>
      <c r="E50" s="484"/>
      <c r="F50" s="485"/>
      <c r="G50" s="138">
        <f ca="1">IF(G49&gt;0, G48-G49, G48)</f>
        <v>0</v>
      </c>
    </row>
  </sheetData>
  <sheetProtection algorithmName="SHA-512" hashValue="v8UNvBlRM/T4oJHRgkbLU7puJfG30Kb2ZLWGBLYlODLVOdw3xFUfL53HKOjeqzFC6RdIbSYz+gAUQw0zrmnCNg==" saltValue="Iq4ftivVIgdlLnSP8bsgBQ==" spinCount="100000" sheet="1" objects="1" scenarios="1" selectLockedCells="1"/>
  <mergeCells count="52">
    <mergeCell ref="A1:G1"/>
    <mergeCell ref="A50:F50"/>
    <mergeCell ref="A23:C23"/>
    <mergeCell ref="D23:F23"/>
    <mergeCell ref="A24:C24"/>
    <mergeCell ref="D24:F24"/>
    <mergeCell ref="A25:C25"/>
    <mergeCell ref="D25:F25"/>
    <mergeCell ref="A43:F43"/>
    <mergeCell ref="A44:F44"/>
    <mergeCell ref="A45:F45"/>
    <mergeCell ref="A46:F46"/>
    <mergeCell ref="A48:F48"/>
    <mergeCell ref="A49:F49"/>
    <mergeCell ref="A37:F37"/>
    <mergeCell ref="A38:F38"/>
    <mergeCell ref="A39:F39"/>
    <mergeCell ref="A40:F40"/>
    <mergeCell ref="A41:F41"/>
    <mergeCell ref="A42:F42"/>
    <mergeCell ref="A31:F31"/>
    <mergeCell ref="A32:B32"/>
    <mergeCell ref="A33:B33"/>
    <mergeCell ref="A34:B34"/>
    <mergeCell ref="A35:B35"/>
    <mergeCell ref="A36:B36"/>
    <mergeCell ref="C36:F36"/>
    <mergeCell ref="A30:F30"/>
    <mergeCell ref="C17:F17"/>
    <mergeCell ref="A18:F18"/>
    <mergeCell ref="A19:F19"/>
    <mergeCell ref="A20:F20"/>
    <mergeCell ref="A21:F21"/>
    <mergeCell ref="A22:C22"/>
    <mergeCell ref="D22:F22"/>
    <mergeCell ref="A26:C26"/>
    <mergeCell ref="D26:F26"/>
    <mergeCell ref="A27:F27"/>
    <mergeCell ref="A28:F28"/>
    <mergeCell ref="A29:F29"/>
    <mergeCell ref="C16:F16"/>
    <mergeCell ref="A2:C3"/>
    <mergeCell ref="D2:F2"/>
    <mergeCell ref="G2:G3"/>
    <mergeCell ref="B4:C4"/>
    <mergeCell ref="B5:C5"/>
    <mergeCell ref="B6:C6"/>
    <mergeCell ref="B7:C7"/>
    <mergeCell ref="B8:C8"/>
    <mergeCell ref="A11:C11"/>
    <mergeCell ref="C14:F14"/>
    <mergeCell ref="C15:F15"/>
  </mergeCells>
  <phoneticPr fontId="9" type="noConversion"/>
  <pageMargins left="0.75" right="0.75" top="1" bottom="1" header="0.5" footer="0.5"/>
  <pageSetup scale="80" orientation="portrait" horizontalDpi="4294967292" verticalDpi="4294967292" r:id="rId1"/>
  <rowBreaks count="1" manualBreakCount="1">
    <brk id="50" max="16383" man="1"/>
  </rowBreaks>
  <colBreaks count="1" manualBreakCount="1">
    <brk id="7" max="1048575" man="1"/>
  </colBreaks>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224</vt:i4>
      </vt:variant>
    </vt:vector>
  </HeadingPairs>
  <TitlesOfParts>
    <vt:vector size="231" baseType="lpstr">
      <vt:lpstr>Instructions</vt:lpstr>
      <vt:lpstr>Budget</vt:lpstr>
      <vt:lpstr>Salary &amp; Fringe</vt:lpstr>
      <vt:lpstr>Cayuse Summary Budget</vt:lpstr>
      <vt:lpstr>Validation Data</vt:lpstr>
      <vt:lpstr>Salary Tables</vt:lpstr>
      <vt:lpstr>Fringe Calculations</vt:lpstr>
      <vt:lpstr>ApptType</vt:lpstr>
      <vt:lpstr>BasisType</vt:lpstr>
      <vt:lpstr>EndBasisType</vt:lpstr>
      <vt:lpstr>EndSubCalc1</vt:lpstr>
      <vt:lpstr>EndSubCalc10</vt:lpstr>
      <vt:lpstr>EndSubCalc2</vt:lpstr>
      <vt:lpstr>EndSubCalc3</vt:lpstr>
      <vt:lpstr>EndSubCalc4</vt:lpstr>
      <vt:lpstr>EndSubCalc5</vt:lpstr>
      <vt:lpstr>EndSubCalc6</vt:lpstr>
      <vt:lpstr>EndSubCalc7</vt:lpstr>
      <vt:lpstr>EndSubCalc8</vt:lpstr>
      <vt:lpstr>EndSubCalc9</vt:lpstr>
      <vt:lpstr>EndTuitionmonth</vt:lpstr>
      <vt:lpstr>Equipment1</vt:lpstr>
      <vt:lpstr>Equipment10</vt:lpstr>
      <vt:lpstr>Equipment2</vt:lpstr>
      <vt:lpstr>Equipment3</vt:lpstr>
      <vt:lpstr>Equipment4</vt:lpstr>
      <vt:lpstr>Equipment5</vt:lpstr>
      <vt:lpstr>Equipment6</vt:lpstr>
      <vt:lpstr>Equipment7</vt:lpstr>
      <vt:lpstr>Equipment8</vt:lpstr>
      <vt:lpstr>Equipment9</vt:lpstr>
      <vt:lpstr>Fringe1</vt:lpstr>
      <vt:lpstr>Fringe10</vt:lpstr>
      <vt:lpstr>Fringe2</vt:lpstr>
      <vt:lpstr>Fringe3</vt:lpstr>
      <vt:lpstr>Fringe4</vt:lpstr>
      <vt:lpstr>Fringe5</vt:lpstr>
      <vt:lpstr>Fringe6</vt:lpstr>
      <vt:lpstr>Fringe7</vt:lpstr>
      <vt:lpstr>Fringe8</vt:lpstr>
      <vt:lpstr>Fringe9</vt:lpstr>
      <vt:lpstr>ICRate</vt:lpstr>
      <vt:lpstr>Multi1</vt:lpstr>
      <vt:lpstr>Multi10</vt:lpstr>
      <vt:lpstr>Multi2</vt:lpstr>
      <vt:lpstr>Multi3</vt:lpstr>
      <vt:lpstr>Multi4</vt:lpstr>
      <vt:lpstr>Multi5</vt:lpstr>
      <vt:lpstr>Multi6</vt:lpstr>
      <vt:lpstr>Multi7</vt:lpstr>
      <vt:lpstr>Multi8</vt:lpstr>
      <vt:lpstr>Multi9</vt:lpstr>
      <vt:lpstr>NonStd1</vt:lpstr>
      <vt:lpstr>NonStd10</vt:lpstr>
      <vt:lpstr>NonStd2</vt:lpstr>
      <vt:lpstr>NonStd3</vt:lpstr>
      <vt:lpstr>NonStd4</vt:lpstr>
      <vt:lpstr>NonStd5</vt:lpstr>
      <vt:lpstr>NonStd6</vt:lpstr>
      <vt:lpstr>NonStd7</vt:lpstr>
      <vt:lpstr>NonStd8</vt:lpstr>
      <vt:lpstr>NonStd9</vt:lpstr>
      <vt:lpstr>PermanentEquipment</vt:lpstr>
      <vt:lpstr>Budget!Print_Area</vt:lpstr>
      <vt:lpstr>'Grants.gov Detailed Yr 1'!Print_Area</vt:lpstr>
      <vt:lpstr>'NSF Cumulative'!Print_Area</vt:lpstr>
      <vt:lpstr>Salary1</vt:lpstr>
      <vt:lpstr>SubCalc1</vt:lpstr>
      <vt:lpstr>SubCalc10</vt:lpstr>
      <vt:lpstr>SubCalc2</vt:lpstr>
      <vt:lpstr>SubCalc3</vt:lpstr>
      <vt:lpstr>SubCalc4</vt:lpstr>
      <vt:lpstr>SubCalc5</vt:lpstr>
      <vt:lpstr>SubCalc6</vt:lpstr>
      <vt:lpstr>SubCalc7</vt:lpstr>
      <vt:lpstr>SubCalc8</vt:lpstr>
      <vt:lpstr>SubCalc9</vt:lpstr>
      <vt:lpstr>Subs1</vt:lpstr>
      <vt:lpstr>Subs10</vt:lpstr>
      <vt:lpstr>Subs2</vt:lpstr>
      <vt:lpstr>Subs3</vt:lpstr>
      <vt:lpstr>Subs4</vt:lpstr>
      <vt:lpstr>Subs5</vt:lpstr>
      <vt:lpstr>Subs6</vt:lpstr>
      <vt:lpstr>Subs7</vt:lpstr>
      <vt:lpstr>Subs8</vt:lpstr>
      <vt:lpstr>Subs9</vt:lpstr>
      <vt:lpstr>TotalDC1</vt:lpstr>
      <vt:lpstr>TotalDC10</vt:lpstr>
      <vt:lpstr>TotalDC2</vt:lpstr>
      <vt:lpstr>TotalDC3</vt:lpstr>
      <vt:lpstr>TotalDC4</vt:lpstr>
      <vt:lpstr>TotalDC5</vt:lpstr>
      <vt:lpstr>TotalDC6</vt:lpstr>
      <vt:lpstr>TotalDC7</vt:lpstr>
      <vt:lpstr>TotalDC8</vt:lpstr>
      <vt:lpstr>TotalDC9</vt:lpstr>
      <vt:lpstr>TotalDCBase1</vt:lpstr>
      <vt:lpstr>TotalDCBase10</vt:lpstr>
      <vt:lpstr>TotalDCBase2</vt:lpstr>
      <vt:lpstr>TotalDCBase3</vt:lpstr>
      <vt:lpstr>TotalDCBase4</vt:lpstr>
      <vt:lpstr>TotalDCBase5</vt:lpstr>
      <vt:lpstr>TotalDCBase6</vt:lpstr>
      <vt:lpstr>TotalDCBase7</vt:lpstr>
      <vt:lpstr>TotalDCBase8</vt:lpstr>
      <vt:lpstr>TotalDCBase9</vt:lpstr>
      <vt:lpstr>TotalDomTravel1</vt:lpstr>
      <vt:lpstr>TotalDomTravel10</vt:lpstr>
      <vt:lpstr>TotalDomTravel2</vt:lpstr>
      <vt:lpstr>TotalDomTravel3</vt:lpstr>
      <vt:lpstr>TotalDomTravel4</vt:lpstr>
      <vt:lpstr>TotalDomTravel5</vt:lpstr>
      <vt:lpstr>TotalDomTravel6</vt:lpstr>
      <vt:lpstr>TotalDomTravel7</vt:lpstr>
      <vt:lpstr>TotalDomTravel8</vt:lpstr>
      <vt:lpstr>TotalDomTravel9</vt:lpstr>
      <vt:lpstr>TotalEquipment1</vt:lpstr>
      <vt:lpstr>TotalEquipment10</vt:lpstr>
      <vt:lpstr>TotalEquipment2</vt:lpstr>
      <vt:lpstr>TotalEquipment3</vt:lpstr>
      <vt:lpstr>TotalEquipment4</vt:lpstr>
      <vt:lpstr>TotalEquipment5</vt:lpstr>
      <vt:lpstr>TotalEquipment6</vt:lpstr>
      <vt:lpstr>TotalEquipment7</vt:lpstr>
      <vt:lpstr>TotalEquipment8</vt:lpstr>
      <vt:lpstr>TotalEquipment9</vt:lpstr>
      <vt:lpstr>TotalForTravel1</vt:lpstr>
      <vt:lpstr>TotalForTravel10</vt:lpstr>
      <vt:lpstr>TotalForTravel2</vt:lpstr>
      <vt:lpstr>TotalForTravel3</vt:lpstr>
      <vt:lpstr>TotalForTravel4</vt:lpstr>
      <vt:lpstr>TotalForTravel5</vt:lpstr>
      <vt:lpstr>TotalForTravel6</vt:lpstr>
      <vt:lpstr>TotalForTravel7</vt:lpstr>
      <vt:lpstr>TotalForTravel8</vt:lpstr>
      <vt:lpstr>TotalForTravel9</vt:lpstr>
      <vt:lpstr>TotalFringe1</vt:lpstr>
      <vt:lpstr>TotalFringe10</vt:lpstr>
      <vt:lpstr>TotalFringe2</vt:lpstr>
      <vt:lpstr>TotalFringe3</vt:lpstr>
      <vt:lpstr>TotalFringe4</vt:lpstr>
      <vt:lpstr>TotalFringe5</vt:lpstr>
      <vt:lpstr>TotalFringe6</vt:lpstr>
      <vt:lpstr>TotalFringe7</vt:lpstr>
      <vt:lpstr>TotalFringe8</vt:lpstr>
      <vt:lpstr>TotalFringe9</vt:lpstr>
      <vt:lpstr>TotalGSR1</vt:lpstr>
      <vt:lpstr>TotalGSR10</vt:lpstr>
      <vt:lpstr>TotalGSR2</vt:lpstr>
      <vt:lpstr>TotalGSR3</vt:lpstr>
      <vt:lpstr>TotalGSR4</vt:lpstr>
      <vt:lpstr>TotalGSR5</vt:lpstr>
      <vt:lpstr>TotalGSR6</vt:lpstr>
      <vt:lpstr>TotalGSR7</vt:lpstr>
      <vt:lpstr>TotalGSR8</vt:lpstr>
      <vt:lpstr>TotalGSR9</vt:lpstr>
      <vt:lpstr>TotalMulti1</vt:lpstr>
      <vt:lpstr>TotalMulti10</vt:lpstr>
      <vt:lpstr>TotalMulti2</vt:lpstr>
      <vt:lpstr>TotalMulti3</vt:lpstr>
      <vt:lpstr>TotalMulti4</vt:lpstr>
      <vt:lpstr>TotalMulti5</vt:lpstr>
      <vt:lpstr>TotalMulti6</vt:lpstr>
      <vt:lpstr>TotalMulti7</vt:lpstr>
      <vt:lpstr>TotalMulti8</vt:lpstr>
      <vt:lpstr>TotalMulti9</vt:lpstr>
      <vt:lpstr>TotalNonStd</vt:lpstr>
      <vt:lpstr>TotalNonStd1</vt:lpstr>
      <vt:lpstr>TotalNonStd10</vt:lpstr>
      <vt:lpstr>TotalNonStd2</vt:lpstr>
      <vt:lpstr>TotalNonStd3</vt:lpstr>
      <vt:lpstr>TotalNonStd4</vt:lpstr>
      <vt:lpstr>TotalNonStd5</vt:lpstr>
      <vt:lpstr>TotalNonStd6</vt:lpstr>
      <vt:lpstr>TotalNonStd7</vt:lpstr>
      <vt:lpstr>TotalNonStd8</vt:lpstr>
      <vt:lpstr>TotalNonStd9</vt:lpstr>
      <vt:lpstr>TotalODC1</vt:lpstr>
      <vt:lpstr>TotalODC10</vt:lpstr>
      <vt:lpstr>TotalODC2</vt:lpstr>
      <vt:lpstr>TotalODC3</vt:lpstr>
      <vt:lpstr>TotalODC4</vt:lpstr>
      <vt:lpstr>TotalODC5</vt:lpstr>
      <vt:lpstr>TotalODC6</vt:lpstr>
      <vt:lpstr>TotalODC7</vt:lpstr>
      <vt:lpstr>TotalODC8</vt:lpstr>
      <vt:lpstr>TotalODC9</vt:lpstr>
      <vt:lpstr>TotalODCGSR1</vt:lpstr>
      <vt:lpstr>TotalODCGSR10</vt:lpstr>
      <vt:lpstr>TotalODCGSR2</vt:lpstr>
      <vt:lpstr>TotalODCGSR3</vt:lpstr>
      <vt:lpstr>TotalODCGSR4</vt:lpstr>
      <vt:lpstr>TotalODCGSR5</vt:lpstr>
      <vt:lpstr>TotalODCGSR6</vt:lpstr>
      <vt:lpstr>TotalODCGSR7</vt:lpstr>
      <vt:lpstr>TotalODCGSR8</vt:lpstr>
      <vt:lpstr>TotalODCGSR9</vt:lpstr>
      <vt:lpstr>TotalParSupport1</vt:lpstr>
      <vt:lpstr>TotalParSupport10</vt:lpstr>
      <vt:lpstr>TotalParSupport2</vt:lpstr>
      <vt:lpstr>TotalParSupport3</vt:lpstr>
      <vt:lpstr>TotalParSupport4</vt:lpstr>
      <vt:lpstr>TotalParSupport5</vt:lpstr>
      <vt:lpstr>TotalParSupport6</vt:lpstr>
      <vt:lpstr>TotalParSupport7</vt:lpstr>
      <vt:lpstr>TotalParSupport8</vt:lpstr>
      <vt:lpstr>TotalParSupport9</vt:lpstr>
      <vt:lpstr>TotalSalary</vt:lpstr>
      <vt:lpstr>TotalSalary1</vt:lpstr>
      <vt:lpstr>TotalSalary10</vt:lpstr>
      <vt:lpstr>TotalSalary2</vt:lpstr>
      <vt:lpstr>TotalSalary3</vt:lpstr>
      <vt:lpstr>TotalSalary4</vt:lpstr>
      <vt:lpstr>TotalSalary5</vt:lpstr>
      <vt:lpstr>TotalSalary6</vt:lpstr>
      <vt:lpstr>TotalSalary7</vt:lpstr>
      <vt:lpstr>TotalSalary8</vt:lpstr>
      <vt:lpstr>TotalSalary9</vt:lpstr>
      <vt:lpstr>TotalSubs1</vt:lpstr>
      <vt:lpstr>TotalSubs10</vt:lpstr>
      <vt:lpstr>TotalSubs2</vt:lpstr>
      <vt:lpstr>TotalSubs3</vt:lpstr>
      <vt:lpstr>TotalSubs4</vt:lpstr>
      <vt:lpstr>TotalSubs5</vt:lpstr>
      <vt:lpstr>TotalSubs6</vt:lpstr>
      <vt:lpstr>TotalSubs7</vt:lpstr>
      <vt:lpstr>TotalSubs8</vt:lpstr>
      <vt:lpstr>TotalSubs9</vt:lpstr>
      <vt:lpstr>TotalTuition1</vt:lpstr>
      <vt:lpstr>Tuitionmonth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Katy Wisuri</dc:creator>
  <cp:lastModifiedBy>admin.nseilhan</cp:lastModifiedBy>
  <cp:lastPrinted>2020-04-30T19:31:12Z</cp:lastPrinted>
  <dcterms:created xsi:type="dcterms:W3CDTF">2014-12-30T20:16:08Z</dcterms:created>
  <dcterms:modified xsi:type="dcterms:W3CDTF">2022-11-18T20:39:32Z</dcterms:modified>
</cp:coreProperties>
</file>